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outhhollanddc-my.sharepoint.com/personal/catherine_sutton_sholland_gov_uk/Documents/Documents/Cats Folder/"/>
    </mc:Choice>
  </mc:AlternateContent>
  <xr:revisionPtr revIDLastSave="0" documentId="8_{DD510BBA-3D28-4488-89C8-F9F5955A72DB}" xr6:coauthVersionLast="47" xr6:coauthVersionMax="47" xr10:uidLastSave="{00000000-0000-0000-0000-000000000000}"/>
  <bookViews>
    <workbookView xWindow="-120" yWindow="-120" windowWidth="29040" windowHeight="15720" xr2:uid="{00000000-000D-0000-FFFF-FFFF00000000}"/>
  </bookViews>
  <sheets>
    <sheet name="1. Introduction" sheetId="1" r:id="rId1"/>
    <sheet name="2. Site Details" sheetId="2" r:id="rId2"/>
    <sheet name="3. Desktop Assessment" sheetId="3" r:id="rId3"/>
    <sheet name="4. Supporting Information" sheetId="4" r:id="rId4"/>
    <sheet name="5. Area Habitats" sheetId="5" r:id="rId5"/>
    <sheet name="6. Hedges &amp; Lines of Trees" sheetId="6" r:id="rId6"/>
    <sheet name="7. Watercourses" sheetId="7" r:id="rId7"/>
    <sheet name="8. Headline Results" sheetId="8" r:id="rId8"/>
    <sheet name="9. All Habitats + Multipliers" sheetId="9" r:id="rId9"/>
    <sheet name="10. Condition and Temporal" sheetId="10" r:id="rId10"/>
    <sheet name="11. Lists" sheetId="11" r:id="rId11"/>
    <sheet name="12. Version history" sheetId="12" r:id="rId12"/>
    <sheet name="13. Habitats Translation" sheetId="13" r:id="rId13"/>
  </sheets>
  <definedNames>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0" i="11" l="1"/>
  <c r="P49" i="11"/>
  <c r="P48" i="11"/>
  <c r="O47" i="11"/>
  <c r="P47" i="11" s="1"/>
  <c r="T38" i="11"/>
  <c r="S38" i="11"/>
  <c r="T37" i="11"/>
  <c r="S37" i="11"/>
  <c r="S36" i="11"/>
  <c r="T36" i="11" s="1"/>
  <c r="B28" i="9"/>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9" i="9"/>
  <c r="B10" i="9" s="1"/>
  <c r="B11" i="9" s="1"/>
  <c r="B12" i="9" s="1"/>
  <c r="B13" i="9" s="1"/>
  <c r="B14" i="9" s="1"/>
  <c r="B15" i="9" s="1"/>
  <c r="B16" i="9" s="1"/>
  <c r="B17" i="9" s="1"/>
  <c r="B18" i="9" s="1"/>
  <c r="B19" i="9" s="1"/>
  <c r="B20" i="9" s="1"/>
  <c r="B21" i="9" s="1"/>
  <c r="B22" i="9" s="1"/>
  <c r="B23" i="9" s="1"/>
  <c r="B24" i="9" s="1"/>
  <c r="B25" i="9" s="1"/>
  <c r="B26" i="9" s="1"/>
  <c r="B27" i="9" s="1"/>
  <c r="D2" i="8"/>
  <c r="F106" i="7"/>
  <c r="F104" i="7"/>
  <c r="F103" i="7"/>
  <c r="BC85" i="7"/>
  <c r="AX85" i="7"/>
  <c r="E85" i="7" s="1"/>
  <c r="AW85" i="7"/>
  <c r="BU82" i="7" s="1"/>
  <c r="AQ85" i="7"/>
  <c r="AR85" i="7" s="1"/>
  <c r="AN85" i="7"/>
  <c r="AP85" i="7" s="1"/>
  <c r="AG85" i="7"/>
  <c r="AH85" i="7" s="1"/>
  <c r="AF85" i="7"/>
  <c r="X85" i="7"/>
  <c r="W85" i="7"/>
  <c r="V85" i="7"/>
  <c r="U85" i="7"/>
  <c r="T85" i="7"/>
  <c r="M85" i="7"/>
  <c r="L85" i="7"/>
  <c r="I85" i="7"/>
  <c r="D85" i="7"/>
  <c r="H85" i="7" s="1"/>
  <c r="BU84" i="7"/>
  <c r="BP84" i="7"/>
  <c r="AX84" i="7"/>
  <c r="E84" i="7" s="1"/>
  <c r="AW84" i="7"/>
  <c r="AS84" i="7"/>
  <c r="AT84" i="7" s="1"/>
  <c r="AQ84" i="7"/>
  <c r="AR84" i="7" s="1"/>
  <c r="AP84" i="7"/>
  <c r="AI84" i="7"/>
  <c r="AJ84" i="7" s="1"/>
  <c r="AG84" i="7"/>
  <c r="AH84" i="7" s="1"/>
  <c r="AF84" i="7"/>
  <c r="AC84" i="7"/>
  <c r="AD84" i="7" s="1"/>
  <c r="AE84" i="7" s="1"/>
  <c r="AB84" i="7"/>
  <c r="X84" i="7"/>
  <c r="W84" i="7"/>
  <c r="U84" i="7"/>
  <c r="M84" i="7"/>
  <c r="L84" i="7"/>
  <c r="I84" i="7"/>
  <c r="H84" i="7"/>
  <c r="AN84" i="7" s="1"/>
  <c r="AO84" i="7" s="1"/>
  <c r="D84" i="7"/>
  <c r="V84" i="7" s="1"/>
  <c r="C84" i="7"/>
  <c r="BD83" i="7"/>
  <c r="AX83" i="7"/>
  <c r="AU83" i="7"/>
  <c r="AV83" i="7" s="1"/>
  <c r="AI83" i="7"/>
  <c r="AJ83" i="7" s="1"/>
  <c r="AB83" i="7"/>
  <c r="T83" i="7"/>
  <c r="M83" i="7"/>
  <c r="L83" i="7"/>
  <c r="I83" i="7"/>
  <c r="E83" i="7"/>
  <c r="D83" i="7"/>
  <c r="C83" i="7" s="1"/>
  <c r="AX82" i="7"/>
  <c r="M82" i="7"/>
  <c r="I82" i="7"/>
  <c r="E82" i="7"/>
  <c r="D82" i="7"/>
  <c r="BJ81" i="7"/>
  <c r="BD81" i="7"/>
  <c r="AX81" i="7"/>
  <c r="AI81" i="7"/>
  <c r="AJ81" i="7" s="1"/>
  <c r="AC81" i="7"/>
  <c r="AD81" i="7" s="1"/>
  <c r="AE81" i="7" s="1"/>
  <c r="U81" i="7"/>
  <c r="M81" i="7"/>
  <c r="L81" i="7"/>
  <c r="I81" i="7"/>
  <c r="E81" i="7"/>
  <c r="D81" i="7"/>
  <c r="AF81" i="7" s="1"/>
  <c r="BU80" i="7"/>
  <c r="BP80" i="7"/>
  <c r="AX80" i="7"/>
  <c r="E80" i="7" s="1"/>
  <c r="AW80" i="7"/>
  <c r="AU80" i="7"/>
  <c r="AV80" i="7" s="1"/>
  <c r="AS80" i="7"/>
  <c r="AT80" i="7" s="1"/>
  <c r="AR80" i="7"/>
  <c r="AQ80" i="7"/>
  <c r="AP80" i="7"/>
  <c r="AI80" i="7"/>
  <c r="AJ80" i="7" s="1"/>
  <c r="AG80" i="7"/>
  <c r="AH80" i="7" s="1"/>
  <c r="AF80" i="7"/>
  <c r="AE80" i="7"/>
  <c r="AC80" i="7"/>
  <c r="AD80" i="7" s="1"/>
  <c r="AB80" i="7"/>
  <c r="X80" i="7"/>
  <c r="W80" i="7"/>
  <c r="T80" i="7"/>
  <c r="M80" i="7"/>
  <c r="L80" i="7"/>
  <c r="I80" i="7"/>
  <c r="H80" i="7"/>
  <c r="AN80" i="7" s="1"/>
  <c r="AO80" i="7" s="1"/>
  <c r="D80" i="7"/>
  <c r="V80" i="7" s="1"/>
  <c r="C80" i="7"/>
  <c r="BD79" i="7"/>
  <c r="AX79" i="7"/>
  <c r="M79" i="7"/>
  <c r="I79" i="7"/>
  <c r="E79" i="7"/>
  <c r="D79" i="7"/>
  <c r="BP78" i="7"/>
  <c r="AX78" i="7"/>
  <c r="E78" i="7" s="1"/>
  <c r="AI78" i="7"/>
  <c r="AJ78" i="7" s="1"/>
  <c r="AG78" i="7"/>
  <c r="AH78" i="7" s="1"/>
  <c r="AC78" i="7"/>
  <c r="AD78" i="7" s="1"/>
  <c r="AE78" i="7" s="1"/>
  <c r="T78" i="7"/>
  <c r="M78" i="7"/>
  <c r="L78" i="7"/>
  <c r="I78" i="7"/>
  <c r="H78" i="7"/>
  <c r="AN78" i="7" s="1"/>
  <c r="AP78" i="7" s="1"/>
  <c r="D78" i="7"/>
  <c r="AU78" i="7" s="1"/>
  <c r="AV78" i="7" s="1"/>
  <c r="BC77" i="7"/>
  <c r="AX77" i="7"/>
  <c r="M77" i="7"/>
  <c r="I77" i="7"/>
  <c r="E77" i="7"/>
  <c r="D77" i="7"/>
  <c r="BU76" i="7"/>
  <c r="AX76" i="7"/>
  <c r="E76" i="7" s="1"/>
  <c r="AW76" i="7"/>
  <c r="AS76" i="7"/>
  <c r="AT76" i="7" s="1"/>
  <c r="AB76" i="7"/>
  <c r="M76" i="7"/>
  <c r="I76" i="7"/>
  <c r="D76" i="7"/>
  <c r="AF76" i="7" s="1"/>
  <c r="BT75" i="7"/>
  <c r="BP75" i="7"/>
  <c r="BD75" i="7"/>
  <c r="AX75" i="7"/>
  <c r="AU75" i="7"/>
  <c r="AV75" i="7" s="1"/>
  <c r="AS75" i="7"/>
  <c r="AT75" i="7" s="1"/>
  <c r="AQ75" i="7"/>
  <c r="AR75" i="7" s="1"/>
  <c r="AJ75" i="7"/>
  <c r="AI75" i="7"/>
  <c r="AC75" i="7"/>
  <c r="AD75" i="7" s="1"/>
  <c r="AE75" i="7" s="1"/>
  <c r="AB75" i="7"/>
  <c r="X75" i="7"/>
  <c r="W75" i="7"/>
  <c r="V75" i="7"/>
  <c r="U75" i="7"/>
  <c r="T75" i="7"/>
  <c r="M75" i="7"/>
  <c r="L75" i="7"/>
  <c r="I75" i="7"/>
  <c r="E75" i="7"/>
  <c r="D75" i="7"/>
  <c r="C75" i="7"/>
  <c r="BU74" i="7"/>
  <c r="AX74" i="7"/>
  <c r="AW74" i="7"/>
  <c r="BJ76" i="7" s="1"/>
  <c r="AS74" i="7"/>
  <c r="AT74" i="7" s="1"/>
  <c r="AQ74" i="7"/>
  <c r="AR74" i="7" s="1"/>
  <c r="AP74" i="7"/>
  <c r="AO74" i="7"/>
  <c r="AI74" i="7"/>
  <c r="AJ74" i="7" s="1"/>
  <c r="AG74" i="7"/>
  <c r="AH74" i="7" s="1"/>
  <c r="AF74" i="7"/>
  <c r="AC74" i="7"/>
  <c r="AD74" i="7" s="1"/>
  <c r="AE74" i="7" s="1"/>
  <c r="AB74" i="7"/>
  <c r="X74" i="7"/>
  <c r="W74" i="7"/>
  <c r="U74" i="7"/>
  <c r="T74" i="7"/>
  <c r="M74" i="7"/>
  <c r="I74" i="7"/>
  <c r="H74" i="7"/>
  <c r="AN74" i="7" s="1"/>
  <c r="E74" i="7"/>
  <c r="D74" i="7"/>
  <c r="AU74" i="7" s="1"/>
  <c r="AV74" i="7" s="1"/>
  <c r="BD73" i="7"/>
  <c r="AX73" i="7"/>
  <c r="AU73" i="7"/>
  <c r="AV73" i="7" s="1"/>
  <c r="AI73" i="7"/>
  <c r="AJ73" i="7" s="1"/>
  <c r="AF73" i="7"/>
  <c r="AC73" i="7"/>
  <c r="AD73" i="7" s="1"/>
  <c r="AE73" i="7" s="1"/>
  <c r="V73" i="7"/>
  <c r="M73" i="7"/>
  <c r="L73" i="7"/>
  <c r="I73" i="7"/>
  <c r="E73" i="7"/>
  <c r="D73" i="7"/>
  <c r="BU72" i="7"/>
  <c r="BD72" i="7"/>
  <c r="AX72" i="7"/>
  <c r="AI72" i="7"/>
  <c r="AJ72" i="7" s="1"/>
  <c r="AF72" i="7"/>
  <c r="AC72" i="7"/>
  <c r="AD72" i="7" s="1"/>
  <c r="AE72" i="7" s="1"/>
  <c r="M72" i="7"/>
  <c r="L72" i="7"/>
  <c r="I72" i="7"/>
  <c r="E72" i="7"/>
  <c r="D72" i="7"/>
  <c r="X72" i="7" s="1"/>
  <c r="AX71" i="7"/>
  <c r="AU71" i="7"/>
  <c r="AV71" i="7" s="1"/>
  <c r="AS71" i="7"/>
  <c r="AT71" i="7" s="1"/>
  <c r="AQ71" i="7"/>
  <c r="AR71" i="7" s="1"/>
  <c r="AI71" i="7"/>
  <c r="AJ71" i="7" s="1"/>
  <c r="AG71" i="7"/>
  <c r="AH71" i="7" s="1"/>
  <c r="AC71" i="7"/>
  <c r="AD71" i="7" s="1"/>
  <c r="AE71" i="7" s="1"/>
  <c r="AB71" i="7"/>
  <c r="V71" i="7"/>
  <c r="T71" i="7"/>
  <c r="M71" i="7"/>
  <c r="L71" i="7"/>
  <c r="I71" i="7"/>
  <c r="E71" i="7"/>
  <c r="D71" i="7"/>
  <c r="C71" i="7"/>
  <c r="BL70" i="7"/>
  <c r="AX70" i="7"/>
  <c r="AQ70" i="7"/>
  <c r="AR70" i="7" s="1"/>
  <c r="W70" i="7"/>
  <c r="U70" i="7"/>
  <c r="M70" i="7"/>
  <c r="J70" i="7"/>
  <c r="I70" i="7"/>
  <c r="E70" i="7"/>
  <c r="D70" i="7"/>
  <c r="BU69" i="7"/>
  <c r="BP69" i="7"/>
  <c r="BC69" i="7"/>
  <c r="AX69" i="7"/>
  <c r="AB69" i="7"/>
  <c r="X69" i="7"/>
  <c r="V69" i="7"/>
  <c r="M69" i="7"/>
  <c r="J69" i="7"/>
  <c r="I69" i="7"/>
  <c r="E69" i="7"/>
  <c r="D69" i="7"/>
  <c r="C69" i="7" s="1"/>
  <c r="BU68" i="7"/>
  <c r="BT68" i="7"/>
  <c r="BL68" i="7"/>
  <c r="AX68" i="7"/>
  <c r="E68" i="7" s="1"/>
  <c r="AW68" i="7"/>
  <c r="BD84" i="7" s="1"/>
  <c r="AU68" i="7"/>
  <c r="AV68" i="7" s="1"/>
  <c r="AS68" i="7"/>
  <c r="AT68" i="7" s="1"/>
  <c r="AQ68" i="7"/>
  <c r="AR68" i="7" s="1"/>
  <c r="AP68" i="7"/>
  <c r="AI68" i="7"/>
  <c r="AJ68" i="7" s="1"/>
  <c r="AG68" i="7"/>
  <c r="AH68" i="7" s="1"/>
  <c r="AF68" i="7"/>
  <c r="AE68" i="7"/>
  <c r="AB68" i="7"/>
  <c r="X68" i="7"/>
  <c r="W68" i="7"/>
  <c r="U68" i="7"/>
  <c r="M68" i="7"/>
  <c r="L68" i="7"/>
  <c r="J68" i="7"/>
  <c r="I68" i="7"/>
  <c r="H68" i="7"/>
  <c r="AN68" i="7" s="1"/>
  <c r="AO68" i="7" s="1"/>
  <c r="D68" i="7"/>
  <c r="AC68" i="7" s="1"/>
  <c r="AD68" i="7" s="1"/>
  <c r="C68" i="7"/>
  <c r="BU67" i="7"/>
  <c r="AX67" i="7"/>
  <c r="E67" i="7" s="1"/>
  <c r="AW67" i="7"/>
  <c r="AU67" i="7"/>
  <c r="AV67" i="7" s="1"/>
  <c r="AS67" i="7"/>
  <c r="AT67" i="7" s="1"/>
  <c r="AH67" i="7"/>
  <c r="AG67" i="7"/>
  <c r="AC67" i="7"/>
  <c r="AD67" i="7" s="1"/>
  <c r="AE67" i="7" s="1"/>
  <c r="AB67" i="7"/>
  <c r="V67" i="7"/>
  <c r="M67" i="7"/>
  <c r="L67" i="7"/>
  <c r="J67" i="7"/>
  <c r="I67" i="7"/>
  <c r="H67" i="7"/>
  <c r="AN67" i="7" s="1"/>
  <c r="AP67" i="7" s="1"/>
  <c r="D67" i="7"/>
  <c r="C67" i="7"/>
  <c r="BP66" i="7"/>
  <c r="BL66" i="7"/>
  <c r="BD66" i="7"/>
  <c r="AY84" i="7"/>
  <c r="AY82" i="7"/>
  <c r="AY81" i="7"/>
  <c r="AZ80" i="7"/>
  <c r="AY80" i="7"/>
  <c r="AZ77" i="7"/>
  <c r="AY73" i="7"/>
  <c r="AY72" i="7"/>
  <c r="AZ71" i="7"/>
  <c r="AY70" i="7"/>
  <c r="AY69" i="7"/>
  <c r="AY67" i="7"/>
  <c r="AY66" i="7" a="1"/>
  <c r="AX66" i="7"/>
  <c r="AV66" i="7"/>
  <c r="AU66" i="7"/>
  <c r="AT66" i="7"/>
  <c r="AS66" i="7"/>
  <c r="AR66" i="7"/>
  <c r="AJ66" i="7"/>
  <c r="AI66" i="7"/>
  <c r="AG66" i="7"/>
  <c r="AH66" i="7" s="1"/>
  <c r="AF66" i="7"/>
  <c r="AC66" i="7"/>
  <c r="AD66" i="7" s="1"/>
  <c r="AE66" i="7" s="1"/>
  <c r="X66" i="7"/>
  <c r="W66" i="7"/>
  <c r="V66" i="7"/>
  <c r="U66" i="7"/>
  <c r="T66" i="7"/>
  <c r="M66" i="7"/>
  <c r="L66" i="7"/>
  <c r="J66" i="7"/>
  <c r="I66" i="7"/>
  <c r="H66" i="7"/>
  <c r="AN66" i="7" s="1"/>
  <c r="AO66" i="7" s="1"/>
  <c r="E66" i="7"/>
  <c r="D66" i="7"/>
  <c r="AQ66" i="7" s="1"/>
  <c r="C66" i="7"/>
  <c r="AG58" i="7"/>
  <c r="AH58" i="7" s="1"/>
  <c r="AE58" i="7"/>
  <c r="AF58" i="7" s="1"/>
  <c r="AB58" i="7"/>
  <c r="W58" i="7"/>
  <c r="X58" i="7" s="1"/>
  <c r="V58" i="7"/>
  <c r="T58" i="7"/>
  <c r="L58" i="7"/>
  <c r="AG57" i="7"/>
  <c r="AH57" i="7" s="1"/>
  <c r="AE57" i="7"/>
  <c r="AF57" i="7" s="1"/>
  <c r="AD57" i="7"/>
  <c r="AC57" i="7"/>
  <c r="AB57" i="7"/>
  <c r="W57" i="7"/>
  <c r="X57" i="7" s="1"/>
  <c r="V57" i="7"/>
  <c r="T57" i="7"/>
  <c r="L57" i="7"/>
  <c r="AH56" i="7"/>
  <c r="AG56" i="7"/>
  <c r="AE56" i="7"/>
  <c r="AF56" i="7" s="1"/>
  <c r="AB56" i="7"/>
  <c r="AD56" i="7" s="1"/>
  <c r="W56" i="7"/>
  <c r="X56" i="7" s="1"/>
  <c r="V56" i="7"/>
  <c r="T56" i="7"/>
  <c r="L56" i="7"/>
  <c r="AH55" i="7"/>
  <c r="AG55" i="7"/>
  <c r="AE55" i="7"/>
  <c r="AF55" i="7" s="1"/>
  <c r="AC55" i="7"/>
  <c r="AB55" i="7"/>
  <c r="AD55" i="7" s="1"/>
  <c r="W55" i="7"/>
  <c r="X55" i="7" s="1"/>
  <c r="V55" i="7"/>
  <c r="T55" i="7"/>
  <c r="L55" i="7"/>
  <c r="AG54" i="7"/>
  <c r="AH54" i="7" s="1"/>
  <c r="AE54" i="7"/>
  <c r="AF54" i="7" s="1"/>
  <c r="AC54" i="7"/>
  <c r="AB54" i="7"/>
  <c r="AD54" i="7" s="1"/>
  <c r="W54" i="7"/>
  <c r="X54" i="7" s="1"/>
  <c r="V54" i="7"/>
  <c r="T54" i="7"/>
  <c r="L54" i="7"/>
  <c r="AH53" i="7"/>
  <c r="AG53" i="7"/>
  <c r="AE53" i="7"/>
  <c r="AF53" i="7" s="1"/>
  <c r="AD53" i="7"/>
  <c r="AC53" i="7"/>
  <c r="AB53" i="7"/>
  <c r="W53" i="7"/>
  <c r="X53" i="7" s="1"/>
  <c r="T53" i="7"/>
  <c r="V53" i="7" s="1"/>
  <c r="L53" i="7"/>
  <c r="AH52" i="7"/>
  <c r="AG52" i="7"/>
  <c r="AE52" i="7"/>
  <c r="AF52" i="7" s="1"/>
  <c r="AB52" i="7"/>
  <c r="W52" i="7"/>
  <c r="X52" i="7" s="1"/>
  <c r="T52" i="7"/>
  <c r="V52" i="7" s="1"/>
  <c r="L52" i="7"/>
  <c r="AH51" i="7"/>
  <c r="AG51" i="7"/>
  <c r="AE51" i="7"/>
  <c r="AF51" i="7" s="1"/>
  <c r="AD51" i="7"/>
  <c r="AC51" i="7"/>
  <c r="AB51" i="7"/>
  <c r="W51" i="7"/>
  <c r="X51" i="7" s="1"/>
  <c r="T51" i="7"/>
  <c r="V51" i="7" s="1"/>
  <c r="L51" i="7"/>
  <c r="AH50" i="7"/>
  <c r="AG50" i="7"/>
  <c r="AE50" i="7"/>
  <c r="AF50" i="7" s="1"/>
  <c r="AB50" i="7"/>
  <c r="AD50" i="7" s="1"/>
  <c r="W50" i="7"/>
  <c r="X50" i="7" s="1"/>
  <c r="T50" i="7"/>
  <c r="V50" i="7" s="1"/>
  <c r="L50" i="7"/>
  <c r="AH49" i="7"/>
  <c r="AG49" i="7"/>
  <c r="AE49" i="7"/>
  <c r="AF49" i="7" s="1"/>
  <c r="AC49" i="7"/>
  <c r="AB49" i="7"/>
  <c r="AD49" i="7" s="1"/>
  <c r="W49" i="7"/>
  <c r="X49" i="7" s="1"/>
  <c r="V49" i="7"/>
  <c r="T49" i="7"/>
  <c r="L49" i="7"/>
  <c r="AG48" i="7"/>
  <c r="AH48" i="7" s="1"/>
  <c r="AE48" i="7"/>
  <c r="AF48" i="7" s="1"/>
  <c r="AC48" i="7"/>
  <c r="AB48" i="7"/>
  <c r="AD48" i="7" s="1"/>
  <c r="W48" i="7"/>
  <c r="X48" i="7" s="1"/>
  <c r="T48" i="7"/>
  <c r="V48" i="7" s="1"/>
  <c r="L48" i="7"/>
  <c r="AH47" i="7"/>
  <c r="AG47" i="7"/>
  <c r="AE47" i="7"/>
  <c r="AF47" i="7" s="1"/>
  <c r="AD47" i="7"/>
  <c r="AC47" i="7"/>
  <c r="AB47" i="7"/>
  <c r="W47" i="7"/>
  <c r="X47" i="7" s="1"/>
  <c r="T47" i="7"/>
  <c r="V47" i="7" s="1"/>
  <c r="L47" i="7"/>
  <c r="AG46" i="7"/>
  <c r="AH46" i="7" s="1"/>
  <c r="AE46" i="7"/>
  <c r="AF46" i="7" s="1"/>
  <c r="AB46" i="7"/>
  <c r="W46" i="7"/>
  <c r="X46" i="7" s="1"/>
  <c r="T46" i="7"/>
  <c r="V46" i="7" s="1"/>
  <c r="L46" i="7"/>
  <c r="AG45" i="7"/>
  <c r="AH45" i="7" s="1"/>
  <c r="AE45" i="7"/>
  <c r="AF45" i="7" s="1"/>
  <c r="AD45" i="7"/>
  <c r="AC45" i="7"/>
  <c r="AB45" i="7"/>
  <c r="W45" i="7"/>
  <c r="X45" i="7" s="1"/>
  <c r="T45" i="7"/>
  <c r="V45" i="7" s="1"/>
  <c r="L45" i="7"/>
  <c r="AH44" i="7"/>
  <c r="AG44" i="7"/>
  <c r="AE44" i="7"/>
  <c r="AF44" i="7" s="1"/>
  <c r="AD44" i="7"/>
  <c r="AC44" i="7"/>
  <c r="AB44" i="7"/>
  <c r="W44" i="7"/>
  <c r="X44" i="7" s="1"/>
  <c r="T44" i="7"/>
  <c r="V44" i="7" s="1"/>
  <c r="L44" i="7"/>
  <c r="AH43" i="7"/>
  <c r="AG43" i="7"/>
  <c r="AE43" i="7"/>
  <c r="AF43" i="7" s="1"/>
  <c r="AB43" i="7"/>
  <c r="AD43" i="7" s="1"/>
  <c r="W43" i="7"/>
  <c r="X43" i="7" s="1"/>
  <c r="T43" i="7"/>
  <c r="V43" i="7" s="1"/>
  <c r="L43" i="7"/>
  <c r="AG42" i="7"/>
  <c r="AH42" i="7" s="1"/>
  <c r="AE42" i="7"/>
  <c r="AF42" i="7" s="1"/>
  <c r="AC42" i="7"/>
  <c r="AB42" i="7"/>
  <c r="AD42" i="7" s="1"/>
  <c r="W42" i="7"/>
  <c r="X42" i="7" s="1"/>
  <c r="V42" i="7"/>
  <c r="T42" i="7"/>
  <c r="L42" i="7"/>
  <c r="AH41" i="7"/>
  <c r="AG41" i="7"/>
  <c r="AE41" i="7"/>
  <c r="AF41" i="7" s="1"/>
  <c r="AB41" i="7"/>
  <c r="AC41" i="7" s="1"/>
  <c r="W41" i="7"/>
  <c r="X41" i="7" s="1"/>
  <c r="V41" i="7"/>
  <c r="T41" i="7"/>
  <c r="L41" i="7"/>
  <c r="AH40" i="7"/>
  <c r="AG40" i="7"/>
  <c r="AE40" i="7"/>
  <c r="AF40" i="7" s="1"/>
  <c r="AD40" i="7"/>
  <c r="AC40" i="7"/>
  <c r="AB40" i="7"/>
  <c r="W40" i="7"/>
  <c r="X40" i="7" s="1"/>
  <c r="T40" i="7"/>
  <c r="V40" i="7" s="1"/>
  <c r="L40" i="7"/>
  <c r="AI46" i="7"/>
  <c r="AI45" i="7"/>
  <c r="AI39" i="7" a="1"/>
  <c r="AH39" i="7"/>
  <c r="AG39" i="7"/>
  <c r="AF39" i="7"/>
  <c r="AE39" i="7"/>
  <c r="AB39" i="7"/>
  <c r="W39" i="7"/>
  <c r="X39" i="7" s="1"/>
  <c r="T39" i="7"/>
  <c r="V39" i="7" s="1"/>
  <c r="L39" i="7"/>
  <c r="E39" i="7"/>
  <c r="O32" i="7"/>
  <c r="K31" i="7"/>
  <c r="J31" i="7"/>
  <c r="I31" i="7"/>
  <c r="AR30" i="7"/>
  <c r="AI30" i="7"/>
  <c r="AH30" i="7"/>
  <c r="AG30" i="7"/>
  <c r="AF30" i="7"/>
  <c r="AE30" i="7"/>
  <c r="AD30" i="7"/>
  <c r="AC30" i="7"/>
  <c r="AB30" i="7"/>
  <c r="W30" i="7"/>
  <c r="X30" i="7" s="1"/>
  <c r="V30" i="7"/>
  <c r="T30" i="7"/>
  <c r="N30" i="7"/>
  <c r="M30" i="7"/>
  <c r="L30" i="7"/>
  <c r="AR29" i="7"/>
  <c r="AI29" i="7"/>
  <c r="AG29" i="7"/>
  <c r="AF29" i="7"/>
  <c r="AE29" i="7"/>
  <c r="AD29" i="7"/>
  <c r="AC29" i="7"/>
  <c r="AB29" i="7"/>
  <c r="X29" i="7"/>
  <c r="W29" i="7"/>
  <c r="T29" i="7"/>
  <c r="N29" i="7"/>
  <c r="M29" i="7"/>
  <c r="L29" i="7"/>
  <c r="AR28" i="7"/>
  <c r="AI28" i="7"/>
  <c r="AH28" i="7"/>
  <c r="AG28" i="7"/>
  <c r="AF28" i="7"/>
  <c r="AE28" i="7"/>
  <c r="AB28" i="7"/>
  <c r="AD28" i="7" s="1"/>
  <c r="X28" i="7"/>
  <c r="W28" i="7"/>
  <c r="V28" i="7"/>
  <c r="T28" i="7"/>
  <c r="N28" i="7"/>
  <c r="M28" i="7"/>
  <c r="L28" i="7"/>
  <c r="AR27" i="7"/>
  <c r="AI27" i="7"/>
  <c r="AH27" i="7"/>
  <c r="AG27" i="7"/>
  <c r="AF27" i="7"/>
  <c r="AE27" i="7"/>
  <c r="AD27" i="7"/>
  <c r="AC27" i="7"/>
  <c r="AB27" i="7"/>
  <c r="W27" i="7"/>
  <c r="X27" i="7" s="1"/>
  <c r="V27" i="7"/>
  <c r="T27" i="7"/>
  <c r="N27" i="7"/>
  <c r="M27" i="7"/>
  <c r="L27" i="7"/>
  <c r="AR26" i="7"/>
  <c r="AI26" i="7"/>
  <c r="AH26" i="7"/>
  <c r="AG26" i="7"/>
  <c r="AF26" i="7"/>
  <c r="AE26" i="7"/>
  <c r="AD26" i="7"/>
  <c r="AC26" i="7"/>
  <c r="AB26" i="7"/>
  <c r="X26" i="7"/>
  <c r="W26" i="7"/>
  <c r="T26" i="7"/>
  <c r="V26" i="7" s="1"/>
  <c r="N26" i="7"/>
  <c r="M26" i="7"/>
  <c r="L26" i="7"/>
  <c r="AR25" i="7"/>
  <c r="AI25" i="7"/>
  <c r="AH25" i="7"/>
  <c r="AG25" i="7"/>
  <c r="AF25" i="7"/>
  <c r="AE25" i="7"/>
  <c r="AC25" i="7"/>
  <c r="AB25" i="7"/>
  <c r="AD25" i="7" s="1"/>
  <c r="W25" i="7"/>
  <c r="X25" i="7" s="1"/>
  <c r="V25" i="7"/>
  <c r="T25" i="7"/>
  <c r="N25" i="7"/>
  <c r="M25" i="7"/>
  <c r="L25" i="7"/>
  <c r="AR24" i="7"/>
  <c r="AI24" i="7"/>
  <c r="AH24" i="7"/>
  <c r="AG24" i="7"/>
  <c r="AF24" i="7"/>
  <c r="AE24" i="7"/>
  <c r="AD24" i="7"/>
  <c r="AC24" i="7"/>
  <c r="AB24" i="7"/>
  <c r="W24" i="7"/>
  <c r="X24" i="7" s="1"/>
  <c r="V24" i="7"/>
  <c r="T24" i="7"/>
  <c r="N24" i="7"/>
  <c r="M24" i="7"/>
  <c r="L24" i="7"/>
  <c r="AR23" i="7"/>
  <c r="AI23" i="7"/>
  <c r="AG23" i="7"/>
  <c r="AF23" i="7"/>
  <c r="AE23" i="7"/>
  <c r="AD23" i="7"/>
  <c r="AC23" i="7"/>
  <c r="AB23" i="7"/>
  <c r="X23" i="7"/>
  <c r="W23" i="7"/>
  <c r="T23" i="7"/>
  <c r="AH23" i="7" s="1"/>
  <c r="N23" i="7"/>
  <c r="M23" i="7"/>
  <c r="L23" i="7"/>
  <c r="AR22" i="7"/>
  <c r="AI22" i="7"/>
  <c r="AH22" i="7"/>
  <c r="AG22" i="7"/>
  <c r="AF22" i="7"/>
  <c r="AE22" i="7"/>
  <c r="AB22" i="7"/>
  <c r="X22" i="7"/>
  <c r="W22" i="7"/>
  <c r="V22" i="7"/>
  <c r="T22" i="7"/>
  <c r="N22" i="7"/>
  <c r="M22" i="7"/>
  <c r="L22" i="7"/>
  <c r="AR21" i="7"/>
  <c r="AI21" i="7"/>
  <c r="AH21" i="7"/>
  <c r="AG21" i="7"/>
  <c r="AF21" i="7"/>
  <c r="AE21" i="7"/>
  <c r="AD21" i="7"/>
  <c r="AC21" i="7"/>
  <c r="AB21" i="7"/>
  <c r="W21" i="7"/>
  <c r="X21" i="7" s="1"/>
  <c r="V21" i="7"/>
  <c r="T21" i="7"/>
  <c r="N21" i="7"/>
  <c r="M21" i="7"/>
  <c r="L21" i="7"/>
  <c r="AR20" i="7"/>
  <c r="AI20" i="7"/>
  <c r="AH20" i="7"/>
  <c r="AG20" i="7"/>
  <c r="AF20" i="7"/>
  <c r="AE20" i="7"/>
  <c r="AD20" i="7"/>
  <c r="AC20" i="7"/>
  <c r="AB20" i="7"/>
  <c r="X20" i="7"/>
  <c r="W20" i="7"/>
  <c r="T20" i="7"/>
  <c r="V20" i="7" s="1"/>
  <c r="N20" i="7"/>
  <c r="M20" i="7"/>
  <c r="L20" i="7"/>
  <c r="AR19" i="7"/>
  <c r="AI19" i="7"/>
  <c r="AH19" i="7"/>
  <c r="AG19" i="7"/>
  <c r="AF19" i="7"/>
  <c r="AE19" i="7"/>
  <c r="AB19" i="7"/>
  <c r="AD19" i="7" s="1"/>
  <c r="W19" i="7"/>
  <c r="X19" i="7" s="1"/>
  <c r="V19" i="7"/>
  <c r="T19" i="7"/>
  <c r="N19" i="7"/>
  <c r="M19" i="7"/>
  <c r="L19" i="7"/>
  <c r="AR18" i="7"/>
  <c r="AI18" i="7"/>
  <c r="AH18" i="7"/>
  <c r="AG18" i="7"/>
  <c r="AF18" i="7"/>
  <c r="AE18" i="7"/>
  <c r="AD18" i="7"/>
  <c r="AC18" i="7"/>
  <c r="AB18" i="7"/>
  <c r="W18" i="7"/>
  <c r="X18" i="7" s="1"/>
  <c r="V18" i="7"/>
  <c r="T18" i="7"/>
  <c r="N18" i="7"/>
  <c r="M18" i="7"/>
  <c r="L18" i="7"/>
  <c r="AR17" i="7"/>
  <c r="AI17" i="7"/>
  <c r="AH17" i="7"/>
  <c r="AG17" i="7"/>
  <c r="AF17" i="7"/>
  <c r="AE17" i="7"/>
  <c r="AD17" i="7"/>
  <c r="AC17" i="7"/>
  <c r="AB17" i="7"/>
  <c r="X17" i="7"/>
  <c r="W17" i="7"/>
  <c r="V17" i="7"/>
  <c r="T17" i="7"/>
  <c r="N17" i="7"/>
  <c r="M17" i="7"/>
  <c r="L17" i="7"/>
  <c r="AR16" i="7"/>
  <c r="AI16" i="7"/>
  <c r="AH16" i="7"/>
  <c r="AG16" i="7"/>
  <c r="AF16" i="7"/>
  <c r="AE16" i="7"/>
  <c r="AC16" i="7"/>
  <c r="AB16" i="7"/>
  <c r="AD16" i="7" s="1"/>
  <c r="W16" i="7"/>
  <c r="X16" i="7" s="1"/>
  <c r="V16" i="7"/>
  <c r="T16" i="7"/>
  <c r="N16" i="7"/>
  <c r="M16" i="7"/>
  <c r="L16" i="7"/>
  <c r="AR15" i="7"/>
  <c r="AI15" i="7"/>
  <c r="AH15" i="7"/>
  <c r="AG15" i="7"/>
  <c r="AF15" i="7"/>
  <c r="AE15" i="7"/>
  <c r="AD15" i="7"/>
  <c r="AC15" i="7"/>
  <c r="AB15" i="7"/>
  <c r="W15" i="7"/>
  <c r="X15" i="7" s="1"/>
  <c r="V15" i="7"/>
  <c r="T15" i="7"/>
  <c r="N15" i="7"/>
  <c r="M15" i="7"/>
  <c r="L15" i="7"/>
  <c r="AR14" i="7"/>
  <c r="AI14" i="7"/>
  <c r="AG14" i="7"/>
  <c r="AF14" i="7"/>
  <c r="AE14" i="7"/>
  <c r="AD14" i="7"/>
  <c r="AC14" i="7"/>
  <c r="AB14" i="7"/>
  <c r="X14" i="7"/>
  <c r="W14" i="7"/>
  <c r="T14" i="7"/>
  <c r="V14" i="7" s="1"/>
  <c r="N14" i="7"/>
  <c r="M14" i="7"/>
  <c r="L14" i="7"/>
  <c r="AR13" i="7"/>
  <c r="AI13" i="7"/>
  <c r="AH13" i="7"/>
  <c r="AG13" i="7"/>
  <c r="AF13" i="7"/>
  <c r="AE13" i="7"/>
  <c r="AC13" i="7"/>
  <c r="AB13" i="7"/>
  <c r="AD13" i="7" s="1"/>
  <c r="X13" i="7"/>
  <c r="W13" i="7"/>
  <c r="V13" i="7"/>
  <c r="T13" i="7"/>
  <c r="N13" i="7"/>
  <c r="M13" i="7"/>
  <c r="L13" i="7"/>
  <c r="AR12" i="7"/>
  <c r="AI12" i="7"/>
  <c r="AH12" i="7"/>
  <c r="AG12" i="7"/>
  <c r="AF12" i="7"/>
  <c r="AE12" i="7"/>
  <c r="AD12" i="7"/>
  <c r="AC12" i="7"/>
  <c r="AB12" i="7"/>
  <c r="W12" i="7"/>
  <c r="X12" i="7" s="1"/>
  <c r="V12" i="7"/>
  <c r="T12" i="7"/>
  <c r="N12" i="7"/>
  <c r="N31" i="7" s="1"/>
  <c r="P2" i="7" s="1"/>
  <c r="M12" i="7"/>
  <c r="L12" i="7"/>
  <c r="AR11" i="7"/>
  <c r="AK30" i="7"/>
  <c r="AJ30" i="7"/>
  <c r="AK29" i="7"/>
  <c r="AJ28" i="7"/>
  <c r="AK27" i="7"/>
  <c r="AK26" i="7"/>
  <c r="AK25" i="7"/>
  <c r="AJ25" i="7"/>
  <c r="AK24" i="7"/>
  <c r="AJ24" i="7"/>
  <c r="AK23" i="7"/>
  <c r="AJ22" i="7"/>
  <c r="AK21" i="7"/>
  <c r="AK20" i="7"/>
  <c r="AK19" i="7"/>
  <c r="AJ19" i="7"/>
  <c r="AK18" i="7"/>
  <c r="AJ18" i="7"/>
  <c r="AK17" i="7"/>
  <c r="AJ16" i="7"/>
  <c r="AK15" i="7"/>
  <c r="AK14" i="7"/>
  <c r="AK13" i="7"/>
  <c r="AJ13" i="7"/>
  <c r="AK12" i="7"/>
  <c r="AJ12" i="7"/>
  <c r="AK11" i="7"/>
  <c r="AJ11" i="7" a="1"/>
  <c r="AJ27" i="7" s="1"/>
  <c r="AI11" i="7"/>
  <c r="AH11" i="7"/>
  <c r="AG11" i="7"/>
  <c r="AF11" i="7"/>
  <c r="AE11" i="7"/>
  <c r="AB11" i="7"/>
  <c r="W11" i="7"/>
  <c r="X11" i="7" s="1"/>
  <c r="V11" i="7"/>
  <c r="T11" i="7"/>
  <c r="M11" i="7"/>
  <c r="L11" i="7"/>
  <c r="P4" i="7"/>
  <c r="P3" i="7"/>
  <c r="C2" i="7"/>
  <c r="E113" i="6"/>
  <c r="E111" i="6"/>
  <c r="E110" i="6"/>
  <c r="E109" i="6"/>
  <c r="E107" i="6"/>
  <c r="E106" i="6"/>
  <c r="E105" i="6"/>
  <c r="E104" i="6"/>
  <c r="E103" i="6"/>
  <c r="BT85" i="6"/>
  <c r="BR85" i="6"/>
  <c r="BC85" i="6"/>
  <c r="AX85" i="6"/>
  <c r="AW85" i="6"/>
  <c r="AI85" i="6"/>
  <c r="AJ85" i="6" s="1"/>
  <c r="AF85" i="6"/>
  <c r="AC85" i="6"/>
  <c r="AD85" i="6" s="1"/>
  <c r="AE85" i="6" s="1"/>
  <c r="X85" i="6"/>
  <c r="T85" i="6"/>
  <c r="M85" i="6"/>
  <c r="J85" i="6"/>
  <c r="I85" i="6"/>
  <c r="E85" i="6"/>
  <c r="D85" i="6"/>
  <c r="C85" i="6"/>
  <c r="AX84" i="6"/>
  <c r="AW84" i="6"/>
  <c r="BT78" i="6" s="1"/>
  <c r="AV84" i="6"/>
  <c r="AU84" i="6"/>
  <c r="AS84" i="6"/>
  <c r="AT84" i="6" s="1"/>
  <c r="AR84" i="6"/>
  <c r="AN84" i="6"/>
  <c r="AI84" i="6"/>
  <c r="AJ84" i="6" s="1"/>
  <c r="AH84" i="6"/>
  <c r="AG84" i="6"/>
  <c r="AF84" i="6"/>
  <c r="AC84" i="6"/>
  <c r="AD84" i="6" s="1"/>
  <c r="AE84" i="6" s="1"/>
  <c r="X84" i="6"/>
  <c r="W84" i="6"/>
  <c r="V84" i="6"/>
  <c r="U84" i="6"/>
  <c r="T84" i="6"/>
  <c r="M84" i="6"/>
  <c r="L84" i="6"/>
  <c r="J84" i="6"/>
  <c r="I84" i="6"/>
  <c r="H84" i="6"/>
  <c r="E84" i="6"/>
  <c r="D84" i="6"/>
  <c r="AQ84" i="6" s="1"/>
  <c r="C84" i="6"/>
  <c r="BS83" i="6"/>
  <c r="BJ83" i="6"/>
  <c r="BC83" i="6"/>
  <c r="AX83" i="6"/>
  <c r="AS83" i="6"/>
  <c r="AT83" i="6" s="1"/>
  <c r="AQ83" i="6"/>
  <c r="AR83" i="6" s="1"/>
  <c r="X83" i="6"/>
  <c r="V83" i="6"/>
  <c r="U83" i="6"/>
  <c r="M83" i="6"/>
  <c r="J83" i="6"/>
  <c r="I83" i="6"/>
  <c r="H83" i="6"/>
  <c r="AN83" i="6" s="1"/>
  <c r="E83" i="6"/>
  <c r="D83" i="6"/>
  <c r="AW83" i="6" s="1"/>
  <c r="BQ82" i="6"/>
  <c r="BC82" i="6"/>
  <c r="AX82" i="6"/>
  <c r="E82" i="6" s="1"/>
  <c r="AW82" i="6"/>
  <c r="AU82" i="6"/>
  <c r="AV82" i="6" s="1"/>
  <c r="AT82" i="6"/>
  <c r="AI82" i="6"/>
  <c r="AJ82" i="6" s="1"/>
  <c r="AH82" i="6"/>
  <c r="AG82" i="6"/>
  <c r="AF82" i="6"/>
  <c r="AC82" i="6"/>
  <c r="AD82" i="6" s="1"/>
  <c r="AE82" i="6" s="1"/>
  <c r="X82" i="6"/>
  <c r="W82" i="6"/>
  <c r="V82" i="6"/>
  <c r="U82" i="6"/>
  <c r="T82" i="6"/>
  <c r="M82" i="6"/>
  <c r="L82" i="6"/>
  <c r="J82" i="6"/>
  <c r="I82" i="6"/>
  <c r="D82" i="6"/>
  <c r="AS82" i="6" s="1"/>
  <c r="C82" i="6"/>
  <c r="BI81" i="6"/>
  <c r="AX81" i="6"/>
  <c r="AW81" i="6"/>
  <c r="BQ85" i="6" s="1"/>
  <c r="AV81" i="6"/>
  <c r="AU81" i="6"/>
  <c r="AT81" i="6"/>
  <c r="AS81" i="6"/>
  <c r="AP81" i="6"/>
  <c r="AO81" i="6"/>
  <c r="AH81" i="6"/>
  <c r="AG81" i="6"/>
  <c r="AF81" i="6"/>
  <c r="AD81" i="6"/>
  <c r="AE81" i="6" s="1"/>
  <c r="AC81" i="6"/>
  <c r="X81" i="6"/>
  <c r="W81" i="6"/>
  <c r="U81" i="6"/>
  <c r="M81" i="6"/>
  <c r="L81" i="6"/>
  <c r="J81" i="6"/>
  <c r="I81" i="6"/>
  <c r="H81" i="6"/>
  <c r="AN81" i="6" s="1"/>
  <c r="E81" i="6"/>
  <c r="D81" i="6"/>
  <c r="V81" i="6" s="1"/>
  <c r="C81" i="6"/>
  <c r="BR80" i="6"/>
  <c r="BQ80" i="6"/>
  <c r="BE80" i="6"/>
  <c r="BC80" i="6"/>
  <c r="AX80" i="6"/>
  <c r="M80" i="6"/>
  <c r="J80" i="6"/>
  <c r="I80" i="6"/>
  <c r="E80" i="6"/>
  <c r="D80" i="6"/>
  <c r="BR79" i="6"/>
  <c r="BJ79" i="6"/>
  <c r="AX79" i="6"/>
  <c r="E79" i="6" s="1"/>
  <c r="AW79" i="6"/>
  <c r="AQ79" i="6"/>
  <c r="AR79" i="6" s="1"/>
  <c r="M79" i="6"/>
  <c r="J79" i="6"/>
  <c r="I79" i="6"/>
  <c r="D79" i="6"/>
  <c r="BS78" i="6"/>
  <c r="BR78" i="6"/>
  <c r="BQ78" i="6"/>
  <c r="AX78" i="6"/>
  <c r="AT78" i="6"/>
  <c r="AS78" i="6"/>
  <c r="AQ78" i="6"/>
  <c r="AR78" i="6" s="1"/>
  <c r="AP78" i="6"/>
  <c r="AO78" i="6"/>
  <c r="AJ78" i="6"/>
  <c r="AI78" i="6"/>
  <c r="AG78" i="6"/>
  <c r="AH78" i="6" s="1"/>
  <c r="AB78" i="6"/>
  <c r="X78" i="6"/>
  <c r="W78" i="6"/>
  <c r="U78" i="6"/>
  <c r="T78" i="6"/>
  <c r="M78" i="6"/>
  <c r="L78" i="6"/>
  <c r="J78" i="6"/>
  <c r="I78" i="6"/>
  <c r="H78" i="6"/>
  <c r="AN78" i="6" s="1"/>
  <c r="E78" i="6"/>
  <c r="D78" i="6"/>
  <c r="C78" i="6"/>
  <c r="BR77" i="6"/>
  <c r="BC77" i="6"/>
  <c r="AX77" i="6"/>
  <c r="E77" i="6" s="1"/>
  <c r="U77" i="6"/>
  <c r="M77" i="6"/>
  <c r="J77" i="6"/>
  <c r="I77" i="6"/>
  <c r="D77" i="6"/>
  <c r="BS76" i="6"/>
  <c r="BQ76" i="6"/>
  <c r="BJ76" i="6"/>
  <c r="BI76" i="6"/>
  <c r="BC76" i="6"/>
  <c r="AX76" i="6"/>
  <c r="X76" i="6"/>
  <c r="M76" i="6"/>
  <c r="J76" i="6"/>
  <c r="I76" i="6"/>
  <c r="E76" i="6"/>
  <c r="D76" i="6"/>
  <c r="C76" i="6"/>
  <c r="BT75" i="6"/>
  <c r="BR75" i="6"/>
  <c r="BQ75" i="6"/>
  <c r="BJ75" i="6"/>
  <c r="BE75" i="6"/>
  <c r="BC75" i="6"/>
  <c r="AX75" i="6"/>
  <c r="E75" i="6" s="1"/>
  <c r="AQ75" i="6"/>
  <c r="AR75" i="6" s="1"/>
  <c r="X75" i="6"/>
  <c r="M75" i="6"/>
  <c r="J75" i="6"/>
  <c r="I75" i="6"/>
  <c r="D75" i="6"/>
  <c r="C75" i="6"/>
  <c r="BS74" i="6"/>
  <c r="BQ74" i="6"/>
  <c r="BJ74" i="6"/>
  <c r="BH74" i="6"/>
  <c r="BC74" i="6"/>
  <c r="AX74" i="6"/>
  <c r="AW74" i="6"/>
  <c r="BJ81" i="6" s="1"/>
  <c r="AU74" i="6"/>
  <c r="AV74" i="6" s="1"/>
  <c r="AR74" i="6"/>
  <c r="AQ74" i="6"/>
  <c r="AJ74" i="6"/>
  <c r="AI74" i="6"/>
  <c r="AH74" i="6"/>
  <c r="AG74" i="6"/>
  <c r="AF74" i="6"/>
  <c r="AB74" i="6"/>
  <c r="X74" i="6"/>
  <c r="V74" i="6"/>
  <c r="T74" i="6"/>
  <c r="M74" i="6"/>
  <c r="L74" i="6"/>
  <c r="J74" i="6"/>
  <c r="I74" i="6"/>
  <c r="H74" i="6"/>
  <c r="AN74" i="6" s="1"/>
  <c r="E74" i="6"/>
  <c r="D74" i="6"/>
  <c r="W74" i="6" s="1"/>
  <c r="C74" i="6"/>
  <c r="BR73" i="6"/>
  <c r="BQ73" i="6"/>
  <c r="BO73" i="6"/>
  <c r="BJ73" i="6"/>
  <c r="BC73" i="6"/>
  <c r="AX73" i="6"/>
  <c r="E73" i="6" s="1"/>
  <c r="AW73" i="6"/>
  <c r="AI73" i="6"/>
  <c r="AJ73" i="6" s="1"/>
  <c r="AF73" i="6"/>
  <c r="AB73" i="6"/>
  <c r="W73" i="6"/>
  <c r="U73" i="6"/>
  <c r="T73" i="6"/>
  <c r="M73" i="6"/>
  <c r="J73" i="6"/>
  <c r="I73" i="6"/>
  <c r="D73" i="6"/>
  <c r="C73" i="6"/>
  <c r="BT72" i="6"/>
  <c r="BQ72" i="6"/>
  <c r="BO72" i="6"/>
  <c r="BC72" i="6"/>
  <c r="AX72" i="6"/>
  <c r="E72" i="6" s="1"/>
  <c r="AW72" i="6"/>
  <c r="BH73" i="6" s="1"/>
  <c r="AU72" i="6"/>
  <c r="AV72" i="6" s="1"/>
  <c r="AS72" i="6"/>
  <c r="AT72" i="6" s="1"/>
  <c r="AP72" i="6"/>
  <c r="AN72" i="6"/>
  <c r="AO72" i="6" s="1"/>
  <c r="AJ72" i="6"/>
  <c r="AI72" i="6"/>
  <c r="AG72" i="6"/>
  <c r="AH72" i="6" s="1"/>
  <c r="AF72" i="6"/>
  <c r="AE72" i="6"/>
  <c r="AC72" i="6"/>
  <c r="AD72" i="6" s="1"/>
  <c r="X72" i="6"/>
  <c r="W72" i="6"/>
  <c r="V72" i="6"/>
  <c r="U72" i="6"/>
  <c r="T72" i="6"/>
  <c r="M72" i="6"/>
  <c r="L72" i="6"/>
  <c r="J72" i="6"/>
  <c r="I72" i="6"/>
  <c r="H72" i="6"/>
  <c r="D72" i="6"/>
  <c r="AQ72" i="6" s="1"/>
  <c r="AR72" i="6" s="1"/>
  <c r="C72" i="6"/>
  <c r="BU71" i="6"/>
  <c r="BT71" i="6"/>
  <c r="BR71" i="6"/>
  <c r="BQ71" i="6"/>
  <c r="BO71" i="6"/>
  <c r="BJ71" i="6"/>
  <c r="BC71" i="6"/>
  <c r="AX71" i="6"/>
  <c r="AS71" i="6"/>
  <c r="AT71" i="6" s="1"/>
  <c r="AQ71" i="6"/>
  <c r="AR71" i="6" s="1"/>
  <c r="AC71" i="6"/>
  <c r="AD71" i="6" s="1"/>
  <c r="AE71" i="6" s="1"/>
  <c r="V71" i="6"/>
  <c r="M71" i="6"/>
  <c r="J71" i="6"/>
  <c r="I71" i="6"/>
  <c r="H71" i="6"/>
  <c r="AN71" i="6" s="1"/>
  <c r="E71" i="6"/>
  <c r="D71" i="6"/>
  <c r="C71" i="6"/>
  <c r="BR70" i="6"/>
  <c r="BJ70" i="6"/>
  <c r="BE70" i="6"/>
  <c r="BC70" i="6"/>
  <c r="AX70" i="6"/>
  <c r="E70" i="6" s="1"/>
  <c r="AV70" i="6"/>
  <c r="AU70" i="6"/>
  <c r="AQ70" i="6"/>
  <c r="AR70" i="6" s="1"/>
  <c r="AF70" i="6"/>
  <c r="AC70" i="6"/>
  <c r="AD70" i="6" s="1"/>
  <c r="AE70" i="6" s="1"/>
  <c r="X70" i="6"/>
  <c r="V70" i="6"/>
  <c r="M70" i="6"/>
  <c r="L70" i="6"/>
  <c r="J70" i="6"/>
  <c r="I70" i="6"/>
  <c r="D70" i="6"/>
  <c r="BR69" i="6"/>
  <c r="BQ69" i="6"/>
  <c r="BJ69" i="6"/>
  <c r="BD69" i="6"/>
  <c r="AX69" i="6"/>
  <c r="AW69" i="6"/>
  <c r="BE85" i="6" s="1"/>
  <c r="AH69" i="6"/>
  <c r="AG69" i="6"/>
  <c r="AF69" i="6"/>
  <c r="AB69" i="6"/>
  <c r="W69" i="6"/>
  <c r="T69" i="6"/>
  <c r="M69" i="6"/>
  <c r="L69" i="6"/>
  <c r="J69" i="6"/>
  <c r="I69" i="6"/>
  <c r="E69" i="6"/>
  <c r="D69" i="6"/>
  <c r="V69" i="6" s="1"/>
  <c r="C69" i="6"/>
  <c r="BS68" i="6"/>
  <c r="BR68" i="6"/>
  <c r="BQ68" i="6"/>
  <c r="BC68" i="6"/>
  <c r="AX68" i="6"/>
  <c r="E68" i="6" s="1"/>
  <c r="AW68" i="6"/>
  <c r="BD72" i="6" s="1"/>
  <c r="AN68" i="6"/>
  <c r="AO68" i="6" s="1"/>
  <c r="AJ68" i="6"/>
  <c r="AI68" i="6"/>
  <c r="AG68" i="6"/>
  <c r="AH68" i="6" s="1"/>
  <c r="W68" i="6"/>
  <c r="U68" i="6"/>
  <c r="T68" i="6"/>
  <c r="M68" i="6"/>
  <c r="J68" i="6"/>
  <c r="I68" i="6"/>
  <c r="H68" i="6"/>
  <c r="D68" i="6"/>
  <c r="AQ68" i="6" s="1"/>
  <c r="AR68" i="6" s="1"/>
  <c r="BT67" i="6"/>
  <c r="BS67" i="6"/>
  <c r="BR67" i="6"/>
  <c r="BQ67" i="6"/>
  <c r="BJ67" i="6"/>
  <c r="BI67" i="6"/>
  <c r="BE67" i="6"/>
  <c r="BC67" i="6"/>
  <c r="AX67" i="6"/>
  <c r="AW67" i="6"/>
  <c r="AV67" i="6"/>
  <c r="AU67" i="6"/>
  <c r="AS67" i="6"/>
  <c r="AT67" i="6" s="1"/>
  <c r="AP67" i="6"/>
  <c r="AN67" i="6"/>
  <c r="AO67" i="6" s="1"/>
  <c r="AI67" i="6"/>
  <c r="AJ67" i="6" s="1"/>
  <c r="AG67" i="6"/>
  <c r="AH67" i="6" s="1"/>
  <c r="AF67" i="6"/>
  <c r="AE67" i="6"/>
  <c r="AD67" i="6"/>
  <c r="AC67" i="6"/>
  <c r="X67" i="6"/>
  <c r="W67" i="6"/>
  <c r="V67" i="6"/>
  <c r="T67" i="6"/>
  <c r="M67" i="6"/>
  <c r="L67" i="6"/>
  <c r="J67" i="6"/>
  <c r="I67" i="6"/>
  <c r="H67" i="6"/>
  <c r="E67" i="6"/>
  <c r="D67" i="6"/>
  <c r="U67" i="6" s="1"/>
  <c r="C67" i="6"/>
  <c r="BR66" i="6"/>
  <c r="BQ66" i="6"/>
  <c r="BJ66" i="6"/>
  <c r="BD66" i="6"/>
  <c r="BC66" i="6"/>
  <c r="AX66" i="6"/>
  <c r="AW66" i="6"/>
  <c r="BB68" i="6" s="1"/>
  <c r="AU66" i="6"/>
  <c r="AV66" i="6" s="1"/>
  <c r="AQ66" i="6"/>
  <c r="AR66" i="6" s="1"/>
  <c r="AB66" i="6"/>
  <c r="U66" i="6"/>
  <c r="M66" i="6"/>
  <c r="J66" i="6"/>
  <c r="I66" i="6"/>
  <c r="E66" i="6"/>
  <c r="D66" i="6"/>
  <c r="M59" i="6"/>
  <c r="I59" i="6"/>
  <c r="I60" i="6" s="1"/>
  <c r="AG58" i="6"/>
  <c r="AH58" i="6" s="1"/>
  <c r="AF58" i="6"/>
  <c r="AE58" i="6"/>
  <c r="AB58" i="6"/>
  <c r="W58" i="6"/>
  <c r="X58" i="6" s="1"/>
  <c r="T58" i="6"/>
  <c r="V58" i="6" s="1"/>
  <c r="L58" i="6"/>
  <c r="AG57" i="6"/>
  <c r="AH57" i="6" s="1"/>
  <c r="AF57" i="6"/>
  <c r="AE57" i="6"/>
  <c r="AD57" i="6"/>
  <c r="AB57" i="6"/>
  <c r="AC57" i="6" s="1"/>
  <c r="W57" i="6"/>
  <c r="X57" i="6" s="1"/>
  <c r="T57" i="6"/>
  <c r="V57" i="6" s="1"/>
  <c r="L57" i="6"/>
  <c r="AH56" i="6"/>
  <c r="AG56" i="6"/>
  <c r="AF56" i="6"/>
  <c r="AE56" i="6"/>
  <c r="AD56" i="6"/>
  <c r="AB56" i="6"/>
  <c r="AC56" i="6" s="1"/>
  <c r="W56" i="6"/>
  <c r="X56" i="6" s="1"/>
  <c r="T56" i="6"/>
  <c r="V56" i="6" s="1"/>
  <c r="L56" i="6"/>
  <c r="AG55" i="6"/>
  <c r="AH55" i="6" s="1"/>
  <c r="AF55" i="6"/>
  <c r="AE55" i="6"/>
  <c r="AB55" i="6"/>
  <c r="AC55" i="6" s="1"/>
  <c r="W55" i="6"/>
  <c r="X55" i="6" s="1"/>
  <c r="T55" i="6"/>
  <c r="V55" i="6" s="1"/>
  <c r="L55" i="6"/>
  <c r="AG54" i="6"/>
  <c r="AH54" i="6" s="1"/>
  <c r="AF54" i="6"/>
  <c r="AE54" i="6"/>
  <c r="AB54" i="6"/>
  <c r="W54" i="6"/>
  <c r="X54" i="6" s="1"/>
  <c r="T54" i="6"/>
  <c r="V54" i="6" s="1"/>
  <c r="L54" i="6"/>
  <c r="AG53" i="6"/>
  <c r="AH53" i="6" s="1"/>
  <c r="AF53" i="6"/>
  <c r="AE53" i="6"/>
  <c r="AD53" i="6"/>
  <c r="AB53" i="6"/>
  <c r="AC53" i="6" s="1"/>
  <c r="W53" i="6"/>
  <c r="X53" i="6" s="1"/>
  <c r="T53" i="6"/>
  <c r="V53" i="6" s="1"/>
  <c r="L53" i="6"/>
  <c r="AH52" i="6"/>
  <c r="AG52" i="6"/>
  <c r="AF52" i="6"/>
  <c r="AE52" i="6"/>
  <c r="AD52" i="6"/>
  <c r="AB52" i="6"/>
  <c r="AC52" i="6" s="1"/>
  <c r="W52" i="6"/>
  <c r="X52" i="6" s="1"/>
  <c r="T52" i="6"/>
  <c r="V52" i="6" s="1"/>
  <c r="L52" i="6"/>
  <c r="AG51" i="6"/>
  <c r="AH51" i="6" s="1"/>
  <c r="AF51" i="6"/>
  <c r="AE51" i="6"/>
  <c r="AB51" i="6"/>
  <c r="AC51" i="6" s="1"/>
  <c r="W51" i="6"/>
  <c r="X51" i="6" s="1"/>
  <c r="T51" i="6"/>
  <c r="V51" i="6" s="1"/>
  <c r="L51" i="6"/>
  <c r="AG50" i="6"/>
  <c r="AH50" i="6" s="1"/>
  <c r="AF50" i="6"/>
  <c r="AE50" i="6"/>
  <c r="AB50" i="6"/>
  <c r="AC50" i="6" s="1"/>
  <c r="W50" i="6"/>
  <c r="X50" i="6" s="1"/>
  <c r="T50" i="6"/>
  <c r="V50" i="6" s="1"/>
  <c r="L50" i="6"/>
  <c r="AG49" i="6"/>
  <c r="AH49" i="6" s="1"/>
  <c r="AF49" i="6"/>
  <c r="AE49" i="6"/>
  <c r="AD49" i="6"/>
  <c r="AB49" i="6"/>
  <c r="AC49" i="6" s="1"/>
  <c r="W49" i="6"/>
  <c r="X49" i="6" s="1"/>
  <c r="T49" i="6"/>
  <c r="V49" i="6" s="1"/>
  <c r="L49" i="6"/>
  <c r="AH48" i="6"/>
  <c r="AG48" i="6"/>
  <c r="AF48" i="6"/>
  <c r="AE48" i="6"/>
  <c r="AD48" i="6"/>
  <c r="AB48" i="6"/>
  <c r="AC48" i="6" s="1"/>
  <c r="W48" i="6"/>
  <c r="X48" i="6" s="1"/>
  <c r="T48" i="6"/>
  <c r="V48" i="6" s="1"/>
  <c r="L48" i="6"/>
  <c r="AG47" i="6"/>
  <c r="AH47" i="6" s="1"/>
  <c r="AF47" i="6"/>
  <c r="AE47" i="6"/>
  <c r="AB47" i="6"/>
  <c r="AC47" i="6" s="1"/>
  <c r="W47" i="6"/>
  <c r="X47" i="6" s="1"/>
  <c r="T47" i="6"/>
  <c r="V47" i="6" s="1"/>
  <c r="L47" i="6"/>
  <c r="AG46" i="6"/>
  <c r="AH46" i="6" s="1"/>
  <c r="AF46" i="6"/>
  <c r="AE46" i="6"/>
  <c r="AB46" i="6"/>
  <c r="W46" i="6"/>
  <c r="X46" i="6" s="1"/>
  <c r="T46" i="6"/>
  <c r="V46" i="6" s="1"/>
  <c r="L46" i="6"/>
  <c r="AG45" i="6"/>
  <c r="AH45" i="6" s="1"/>
  <c r="AF45" i="6"/>
  <c r="AE45" i="6"/>
  <c r="AD45" i="6"/>
  <c r="AB45" i="6"/>
  <c r="AC45" i="6" s="1"/>
  <c r="W45" i="6"/>
  <c r="X45" i="6" s="1"/>
  <c r="T45" i="6"/>
  <c r="V45" i="6" s="1"/>
  <c r="L45" i="6"/>
  <c r="AH44" i="6"/>
  <c r="AG44" i="6"/>
  <c r="AF44" i="6"/>
  <c r="AE44" i="6"/>
  <c r="AD44" i="6"/>
  <c r="AB44" i="6"/>
  <c r="AC44" i="6" s="1"/>
  <c r="W44" i="6"/>
  <c r="X44" i="6" s="1"/>
  <c r="T44" i="6"/>
  <c r="V44" i="6" s="1"/>
  <c r="L44" i="6"/>
  <c r="AG43" i="6"/>
  <c r="AH43" i="6" s="1"/>
  <c r="AF43" i="6"/>
  <c r="AE43" i="6"/>
  <c r="AB43" i="6"/>
  <c r="AC43" i="6" s="1"/>
  <c r="W43" i="6"/>
  <c r="X43" i="6" s="1"/>
  <c r="T43" i="6"/>
  <c r="V43" i="6" s="1"/>
  <c r="L43" i="6"/>
  <c r="AG42" i="6"/>
  <c r="AH42" i="6" s="1"/>
  <c r="AF42" i="6"/>
  <c r="AE42" i="6"/>
  <c r="AB42" i="6"/>
  <c r="W42" i="6"/>
  <c r="X42" i="6" s="1"/>
  <c r="T42" i="6"/>
  <c r="V42" i="6" s="1"/>
  <c r="L42" i="6"/>
  <c r="AG41" i="6"/>
  <c r="AH41" i="6" s="1"/>
  <c r="AF41" i="6"/>
  <c r="AE41" i="6"/>
  <c r="AD41" i="6"/>
  <c r="AB41" i="6"/>
  <c r="AC41" i="6" s="1"/>
  <c r="W41" i="6"/>
  <c r="X41" i="6" s="1"/>
  <c r="T41" i="6"/>
  <c r="V41" i="6" s="1"/>
  <c r="AG40" i="6"/>
  <c r="AH40" i="6" s="1"/>
  <c r="AE40" i="6"/>
  <c r="AF40" i="6" s="1"/>
  <c r="AB40" i="6"/>
  <c r="AC40" i="6" s="1"/>
  <c r="W40" i="6"/>
  <c r="X40" i="6" s="1"/>
  <c r="T40" i="6"/>
  <c r="V40" i="6" s="1"/>
  <c r="AH39" i="6"/>
  <c r="AG39" i="6"/>
  <c r="AE39" i="6"/>
  <c r="AF39" i="6" s="1"/>
  <c r="AD39" i="6"/>
  <c r="AB39" i="6"/>
  <c r="AC39" i="6" s="1"/>
  <c r="W39" i="6"/>
  <c r="X39" i="6" s="1"/>
  <c r="T39" i="6"/>
  <c r="V39" i="6" s="1"/>
  <c r="I33" i="6"/>
  <c r="K31" i="6"/>
  <c r="I32" i="6" s="1"/>
  <c r="O32" i="6" s="1"/>
  <c r="J31" i="6"/>
  <c r="I31" i="6"/>
  <c r="AI30" i="6"/>
  <c r="AH30" i="6"/>
  <c r="AG30" i="6"/>
  <c r="AF30" i="6"/>
  <c r="AE30" i="6"/>
  <c r="AD30" i="6"/>
  <c r="AC30" i="6"/>
  <c r="AB30" i="6"/>
  <c r="W30" i="6"/>
  <c r="X30" i="6" s="1"/>
  <c r="T30" i="6"/>
  <c r="V30" i="6" s="1"/>
  <c r="N30" i="6"/>
  <c r="M30" i="6"/>
  <c r="L30" i="6"/>
  <c r="AI29" i="6"/>
  <c r="AG29" i="6"/>
  <c r="AF29" i="6"/>
  <c r="AE29" i="6"/>
  <c r="AD29" i="6"/>
  <c r="AC29" i="6"/>
  <c r="AB29" i="6"/>
  <c r="X29" i="6"/>
  <c r="W29" i="6"/>
  <c r="T29" i="6"/>
  <c r="N29" i="6"/>
  <c r="M29" i="6"/>
  <c r="L29" i="6"/>
  <c r="AI28" i="6"/>
  <c r="AH28" i="6"/>
  <c r="AG28" i="6"/>
  <c r="AF28" i="6"/>
  <c r="AE28" i="6"/>
  <c r="AD28" i="6"/>
  <c r="AB28" i="6"/>
  <c r="AC28" i="6" s="1"/>
  <c r="W28" i="6"/>
  <c r="X28" i="6" s="1"/>
  <c r="V28" i="6"/>
  <c r="T28" i="6"/>
  <c r="N28" i="6"/>
  <c r="M28" i="6"/>
  <c r="L28" i="6"/>
  <c r="AI27" i="6"/>
  <c r="AG27" i="6"/>
  <c r="AF27" i="6"/>
  <c r="AE27" i="6"/>
  <c r="AC27" i="6"/>
  <c r="AB27" i="6"/>
  <c r="AD27" i="6" s="1"/>
  <c r="X27" i="6"/>
  <c r="W27" i="6"/>
  <c r="V27" i="6"/>
  <c r="T27" i="6"/>
  <c r="AH27" i="6" s="1"/>
  <c r="N27" i="6"/>
  <c r="M27" i="6"/>
  <c r="L27" i="6"/>
  <c r="AI26" i="6"/>
  <c r="AG26" i="6"/>
  <c r="AF26" i="6"/>
  <c r="AE26" i="6"/>
  <c r="AD26" i="6"/>
  <c r="AB26" i="6"/>
  <c r="AC26" i="6" s="1"/>
  <c r="W26" i="6"/>
  <c r="X26" i="6" s="1"/>
  <c r="T26" i="6"/>
  <c r="V26" i="6" s="1"/>
  <c r="N26" i="6"/>
  <c r="M26" i="6"/>
  <c r="L26" i="6"/>
  <c r="AI25" i="6"/>
  <c r="AG25" i="6"/>
  <c r="AF25" i="6"/>
  <c r="AE25" i="6"/>
  <c r="AD25" i="6"/>
  <c r="AC25" i="6"/>
  <c r="AB25" i="6"/>
  <c r="X25" i="6"/>
  <c r="W25" i="6"/>
  <c r="T25" i="6"/>
  <c r="N25" i="6"/>
  <c r="M25" i="6"/>
  <c r="L25" i="6"/>
  <c r="AI24" i="6"/>
  <c r="AH24" i="6"/>
  <c r="AG24" i="6"/>
  <c r="AF24" i="6"/>
  <c r="AE24" i="6"/>
  <c r="AD24" i="6"/>
  <c r="AB24" i="6"/>
  <c r="AC24" i="6" s="1"/>
  <c r="W24" i="6"/>
  <c r="X24" i="6" s="1"/>
  <c r="V24" i="6"/>
  <c r="T24" i="6"/>
  <c r="N24" i="6"/>
  <c r="M24" i="6"/>
  <c r="L24" i="6"/>
  <c r="AI23" i="6"/>
  <c r="AG23" i="6"/>
  <c r="AF23" i="6"/>
  <c r="AE23" i="6"/>
  <c r="AB23" i="6"/>
  <c r="X23" i="6"/>
  <c r="W23" i="6"/>
  <c r="V23" i="6"/>
  <c r="T23" i="6"/>
  <c r="AH23" i="6" s="1"/>
  <c r="N23" i="6"/>
  <c r="M23" i="6"/>
  <c r="L23" i="6"/>
  <c r="AI22" i="6"/>
  <c r="AG22" i="6"/>
  <c r="AF22" i="6"/>
  <c r="AE22" i="6"/>
  <c r="AB22" i="6"/>
  <c r="W22" i="6"/>
  <c r="X22" i="6" s="1"/>
  <c r="T22" i="6"/>
  <c r="N22" i="6"/>
  <c r="M22" i="6"/>
  <c r="L22" i="6"/>
  <c r="AI21" i="6"/>
  <c r="AH21" i="6"/>
  <c r="AG21" i="6"/>
  <c r="AF21" i="6"/>
  <c r="AE21" i="6"/>
  <c r="AD21" i="6"/>
  <c r="AC21" i="6"/>
  <c r="AB21" i="6"/>
  <c r="X21" i="6"/>
  <c r="W21" i="6"/>
  <c r="V21" i="6"/>
  <c r="T21" i="6"/>
  <c r="N21" i="6"/>
  <c r="M21" i="6"/>
  <c r="L21" i="6"/>
  <c r="AI20" i="6"/>
  <c r="AH20" i="6"/>
  <c r="AG20" i="6"/>
  <c r="AF20" i="6"/>
  <c r="AE20" i="6"/>
  <c r="AD20" i="6"/>
  <c r="AB20" i="6"/>
  <c r="AC20" i="6" s="1"/>
  <c r="X20" i="6"/>
  <c r="W20" i="6"/>
  <c r="V20" i="6"/>
  <c r="T20" i="6"/>
  <c r="N20" i="6"/>
  <c r="M20" i="6"/>
  <c r="L20" i="6"/>
  <c r="AI19" i="6"/>
  <c r="AG19" i="6"/>
  <c r="AF19" i="6"/>
  <c r="AE19" i="6"/>
  <c r="AD19" i="6"/>
  <c r="AC19" i="6"/>
  <c r="AB19" i="6"/>
  <c r="X19" i="6"/>
  <c r="W19" i="6"/>
  <c r="V19" i="6"/>
  <c r="T19" i="6"/>
  <c r="AH19" i="6" s="1"/>
  <c r="N19" i="6"/>
  <c r="M19" i="6"/>
  <c r="L19" i="6"/>
  <c r="AI18" i="6"/>
  <c r="AH18" i="6"/>
  <c r="AG18" i="6"/>
  <c r="AF18" i="6"/>
  <c r="AE18" i="6"/>
  <c r="AD18" i="6"/>
  <c r="AC18" i="6"/>
  <c r="AB18" i="6"/>
  <c r="W18" i="6"/>
  <c r="X18" i="6" s="1"/>
  <c r="T18" i="6"/>
  <c r="V18" i="6" s="1"/>
  <c r="N18" i="6"/>
  <c r="M18" i="6"/>
  <c r="M31" i="6" s="1"/>
  <c r="L18" i="6"/>
  <c r="AI17" i="6"/>
  <c r="AG17" i="6"/>
  <c r="AF17" i="6"/>
  <c r="AE17" i="6"/>
  <c r="AD17" i="6"/>
  <c r="AC17" i="6"/>
  <c r="AB17" i="6"/>
  <c r="X17" i="6"/>
  <c r="W17" i="6"/>
  <c r="T17" i="6"/>
  <c r="N17" i="6"/>
  <c r="M17" i="6"/>
  <c r="L17" i="6"/>
  <c r="AI16" i="6"/>
  <c r="AH16" i="6"/>
  <c r="AG16" i="6"/>
  <c r="AF16" i="6"/>
  <c r="AE16" i="6"/>
  <c r="AD16" i="6"/>
  <c r="AB16" i="6"/>
  <c r="AC16" i="6" s="1"/>
  <c r="W16" i="6"/>
  <c r="X16" i="6" s="1"/>
  <c r="V16" i="6"/>
  <c r="T16" i="6"/>
  <c r="N16" i="6"/>
  <c r="M16" i="6"/>
  <c r="L16" i="6"/>
  <c r="AI15" i="6"/>
  <c r="AG15" i="6"/>
  <c r="AF15" i="6"/>
  <c r="AE15" i="6"/>
  <c r="AC15" i="6"/>
  <c r="AB15" i="6"/>
  <c r="AD15" i="6" s="1"/>
  <c r="X15" i="6"/>
  <c r="W15" i="6"/>
  <c r="V15" i="6"/>
  <c r="T15" i="6"/>
  <c r="AH15" i="6" s="1"/>
  <c r="N15" i="6"/>
  <c r="M15" i="6"/>
  <c r="L15" i="6"/>
  <c r="AI14" i="6"/>
  <c r="AG14" i="6"/>
  <c r="AF14" i="6"/>
  <c r="AE14" i="6"/>
  <c r="AD14" i="6"/>
  <c r="AB14" i="6"/>
  <c r="AC14" i="6" s="1"/>
  <c r="W14" i="6"/>
  <c r="X14" i="6" s="1"/>
  <c r="T14" i="6"/>
  <c r="V14" i="6" s="1"/>
  <c r="N14" i="6"/>
  <c r="M14" i="6"/>
  <c r="L14" i="6"/>
  <c r="AI13" i="6"/>
  <c r="AG13" i="6"/>
  <c r="AF13" i="6"/>
  <c r="AE13" i="6"/>
  <c r="AD13" i="6"/>
  <c r="AC13" i="6"/>
  <c r="AB13" i="6"/>
  <c r="X13" i="6"/>
  <c r="W13" i="6"/>
  <c r="T13" i="6"/>
  <c r="N13" i="6"/>
  <c r="M13" i="6"/>
  <c r="L13" i="6"/>
  <c r="AI12" i="6"/>
  <c r="AH12" i="6"/>
  <c r="AG12" i="6"/>
  <c r="AF12" i="6"/>
  <c r="AE12" i="6"/>
  <c r="AD12" i="6"/>
  <c r="AB12" i="6"/>
  <c r="AC12" i="6" s="1"/>
  <c r="W12" i="6"/>
  <c r="X12" i="6" s="1"/>
  <c r="V12" i="6"/>
  <c r="T12" i="6"/>
  <c r="N12" i="6"/>
  <c r="M12" i="6"/>
  <c r="L12" i="6"/>
  <c r="AI11" i="6"/>
  <c r="AG11" i="6"/>
  <c r="AF11" i="6"/>
  <c r="AE11" i="6"/>
  <c r="AB11" i="6"/>
  <c r="X11" i="6"/>
  <c r="W11" i="6"/>
  <c r="V11" i="6"/>
  <c r="T11" i="6"/>
  <c r="AH11" i="6" s="1"/>
  <c r="N11" i="6"/>
  <c r="N31" i="6" s="1"/>
  <c r="P2" i="6" s="1"/>
  <c r="M11" i="6"/>
  <c r="L11" i="6"/>
  <c r="C2" i="6"/>
  <c r="J133" i="5"/>
  <c r="I133" i="5"/>
  <c r="F133" i="5"/>
  <c r="F132" i="5"/>
  <c r="I131" i="5"/>
  <c r="J131" i="5" s="1"/>
  <c r="F131" i="5"/>
  <c r="F130" i="5"/>
  <c r="F129" i="5"/>
  <c r="I129" i="5" s="1"/>
  <c r="J129" i="5" s="1"/>
  <c r="F128" i="5"/>
  <c r="I127" i="5"/>
  <c r="J127" i="5" s="1"/>
  <c r="F127" i="5"/>
  <c r="F126" i="5"/>
  <c r="I125" i="5"/>
  <c r="J125" i="5" s="1"/>
  <c r="F125" i="5"/>
  <c r="F124" i="5"/>
  <c r="I123" i="5"/>
  <c r="J123" i="5" s="1"/>
  <c r="F123" i="5"/>
  <c r="F122" i="5"/>
  <c r="J121" i="5"/>
  <c r="I121" i="5"/>
  <c r="F121" i="5"/>
  <c r="F120" i="5"/>
  <c r="F119" i="5"/>
  <c r="I119" i="5" s="1"/>
  <c r="J119" i="5" s="1"/>
  <c r="F118" i="5"/>
  <c r="I115" i="5"/>
  <c r="J115" i="5" s="1"/>
  <c r="F115" i="5"/>
  <c r="F114" i="5"/>
  <c r="E100" i="5"/>
  <c r="G99" i="5"/>
  <c r="E99" i="5"/>
  <c r="D99" i="5"/>
  <c r="O98" i="5"/>
  <c r="L98" i="5"/>
  <c r="I98" i="5"/>
  <c r="O97" i="5"/>
  <c r="L97" i="5"/>
  <c r="I97" i="5"/>
  <c r="O96" i="5"/>
  <c r="O99" i="5" s="1"/>
  <c r="L96" i="5"/>
  <c r="L99" i="5" s="1"/>
  <c r="I96" i="5"/>
  <c r="I99" i="5" s="1"/>
  <c r="O95" i="5"/>
  <c r="L95" i="5"/>
  <c r="I95" i="5"/>
  <c r="AY88" i="5"/>
  <c r="AX88" i="5"/>
  <c r="AW88" i="5"/>
  <c r="AU88" i="5"/>
  <c r="AV88" i="5" s="1"/>
  <c r="AT88" i="5"/>
  <c r="AS88" i="5"/>
  <c r="AQ88" i="5"/>
  <c r="AR88" i="5" s="1"/>
  <c r="AP88" i="5"/>
  <c r="AO88" i="5"/>
  <c r="AN88" i="5"/>
  <c r="AJ88" i="5"/>
  <c r="AI88" i="5"/>
  <c r="AH88" i="5"/>
  <c r="AG88" i="5"/>
  <c r="AF88" i="5"/>
  <c r="AE88" i="5"/>
  <c r="AC88" i="5"/>
  <c r="AD88" i="5" s="1"/>
  <c r="AB88" i="5"/>
  <c r="X88" i="5"/>
  <c r="W88" i="5"/>
  <c r="V88" i="5"/>
  <c r="U88" i="5"/>
  <c r="T88" i="5"/>
  <c r="L88" i="5"/>
  <c r="E88" i="5"/>
  <c r="BB87" i="5"/>
  <c r="AX87" i="5"/>
  <c r="E87" i="5" s="1"/>
  <c r="V87" i="5"/>
  <c r="M87" i="5"/>
  <c r="L87" i="5"/>
  <c r="I87" i="5"/>
  <c r="D87" i="5"/>
  <c r="AC87" i="5" s="1"/>
  <c r="AD87" i="5" s="1"/>
  <c r="AE87" i="5" s="1"/>
  <c r="C87" i="5"/>
  <c r="AY87" i="5" s="1"/>
  <c r="AY86" i="5"/>
  <c r="AX86" i="5"/>
  <c r="AW86" i="5"/>
  <c r="BT74" i="5" s="1"/>
  <c r="AV86" i="5"/>
  <c r="AU86" i="5"/>
  <c r="AS86" i="5"/>
  <c r="AT86" i="5" s="1"/>
  <c r="AR86" i="5"/>
  <c r="AQ86" i="5"/>
  <c r="AN86" i="5"/>
  <c r="AI86" i="5"/>
  <c r="AJ86" i="5" s="1"/>
  <c r="AG86" i="5"/>
  <c r="AH86" i="5" s="1"/>
  <c r="AF86" i="5"/>
  <c r="AC86" i="5"/>
  <c r="AD86" i="5" s="1"/>
  <c r="AE86" i="5" s="1"/>
  <c r="AB86" i="5"/>
  <c r="W86" i="5"/>
  <c r="U86" i="5"/>
  <c r="M86" i="5"/>
  <c r="I86" i="5"/>
  <c r="H86" i="5"/>
  <c r="E86" i="5"/>
  <c r="D86" i="5"/>
  <c r="X86" i="5" s="1"/>
  <c r="C86" i="5"/>
  <c r="BB85" i="5"/>
  <c r="AX85" i="5"/>
  <c r="AU85" i="5"/>
  <c r="AV85" i="5" s="1"/>
  <c r="AT85" i="5"/>
  <c r="AS85" i="5"/>
  <c r="AC85" i="5"/>
  <c r="AD85" i="5" s="1"/>
  <c r="AE85" i="5" s="1"/>
  <c r="V85" i="5"/>
  <c r="T85" i="5"/>
  <c r="M85" i="5"/>
  <c r="L85" i="5"/>
  <c r="I85" i="5"/>
  <c r="H85" i="5"/>
  <c r="AN85" i="5" s="1"/>
  <c r="AP85" i="5" s="1"/>
  <c r="E85" i="5"/>
  <c r="D85" i="5"/>
  <c r="X85" i="5" s="1"/>
  <c r="BN84" i="5"/>
  <c r="AY84" i="5"/>
  <c r="AX84" i="5"/>
  <c r="E84" i="5" s="1"/>
  <c r="AW84" i="5"/>
  <c r="AU84" i="5"/>
  <c r="AV84" i="5" s="1"/>
  <c r="AS84" i="5"/>
  <c r="AT84" i="5" s="1"/>
  <c r="AQ84" i="5"/>
  <c r="AR84" i="5" s="1"/>
  <c r="AN84" i="5"/>
  <c r="AI84" i="5"/>
  <c r="AJ84" i="5" s="1"/>
  <c r="AH84" i="5"/>
  <c r="AG84" i="5"/>
  <c r="AF84" i="5"/>
  <c r="AB84" i="5"/>
  <c r="X84" i="5"/>
  <c r="W84" i="5"/>
  <c r="V84" i="5"/>
  <c r="U84" i="5"/>
  <c r="T84" i="5"/>
  <c r="M84" i="5"/>
  <c r="L84" i="5"/>
  <c r="I84" i="5"/>
  <c r="H84" i="5"/>
  <c r="D84" i="5"/>
  <c r="AC84" i="5" s="1"/>
  <c r="AD84" i="5" s="1"/>
  <c r="AE84" i="5" s="1"/>
  <c r="C84" i="5"/>
  <c r="BT83" i="5"/>
  <c r="BR83" i="5"/>
  <c r="AX83" i="5"/>
  <c r="E83" i="5" s="1"/>
  <c r="AS83" i="5"/>
  <c r="AT83" i="5" s="1"/>
  <c r="AN83" i="5"/>
  <c r="AC83" i="5"/>
  <c r="AD83" i="5" s="1"/>
  <c r="AE83" i="5" s="1"/>
  <c r="T83" i="5"/>
  <c r="M83" i="5"/>
  <c r="I83" i="5"/>
  <c r="H83" i="5"/>
  <c r="D83" i="5"/>
  <c r="BR82" i="5"/>
  <c r="BN82" i="5"/>
  <c r="BF82" i="5"/>
  <c r="AX82" i="5"/>
  <c r="U82" i="5"/>
  <c r="M82" i="5"/>
  <c r="I82" i="5"/>
  <c r="E82" i="5"/>
  <c r="D82" i="5"/>
  <c r="BN81" i="5"/>
  <c r="BF81" i="5"/>
  <c r="AX81" i="5"/>
  <c r="E81" i="5" s="1"/>
  <c r="AW81" i="5"/>
  <c r="BO80" i="5" s="1"/>
  <c r="AU81" i="5"/>
  <c r="AV81" i="5" s="1"/>
  <c r="AQ81" i="5"/>
  <c r="AR81" i="5" s="1"/>
  <c r="AG81" i="5"/>
  <c r="AH81" i="5" s="1"/>
  <c r="AE81" i="5"/>
  <c r="AC81" i="5"/>
  <c r="AD81" i="5" s="1"/>
  <c r="X81" i="5"/>
  <c r="U81" i="5"/>
  <c r="M81" i="5"/>
  <c r="I81" i="5"/>
  <c r="D81" i="5"/>
  <c r="C81" i="5" s="1"/>
  <c r="AY81" i="5" s="1"/>
  <c r="BB80" i="5"/>
  <c r="AX80" i="5"/>
  <c r="E80" i="5" s="1"/>
  <c r="AW80" i="5"/>
  <c r="BN85" i="5" s="1"/>
  <c r="AU80" i="5"/>
  <c r="AV80" i="5" s="1"/>
  <c r="AS80" i="5"/>
  <c r="AT80" i="5" s="1"/>
  <c r="AQ80" i="5"/>
  <c r="AR80" i="5" s="1"/>
  <c r="AJ80" i="5"/>
  <c r="AI80" i="5"/>
  <c r="AF80" i="5"/>
  <c r="AC80" i="5"/>
  <c r="AD80" i="5" s="1"/>
  <c r="AE80" i="5" s="1"/>
  <c r="X80" i="5"/>
  <c r="V80" i="5"/>
  <c r="U80" i="5"/>
  <c r="T80" i="5"/>
  <c r="M80" i="5"/>
  <c r="I80" i="5"/>
  <c r="H80" i="5"/>
  <c r="AN80" i="5" s="1"/>
  <c r="D80" i="5"/>
  <c r="AB80" i="5" s="1"/>
  <c r="C80" i="5"/>
  <c r="AY80" i="5" s="1"/>
  <c r="BT79" i="5"/>
  <c r="BR79" i="5"/>
  <c r="BN79" i="5"/>
  <c r="BI79" i="5"/>
  <c r="BB79" i="5"/>
  <c r="AX79" i="5"/>
  <c r="E79" i="5" s="1"/>
  <c r="AF79" i="5"/>
  <c r="X79" i="5"/>
  <c r="W79" i="5"/>
  <c r="V79" i="5"/>
  <c r="T79" i="5"/>
  <c r="M79" i="5"/>
  <c r="L79" i="5"/>
  <c r="I79" i="5"/>
  <c r="H79" i="5"/>
  <c r="AN79" i="5" s="1"/>
  <c r="D79" i="5"/>
  <c r="BT78" i="5"/>
  <c r="BR78" i="5"/>
  <c r="BN78" i="5"/>
  <c r="AX78" i="5"/>
  <c r="V78" i="5"/>
  <c r="M78" i="5"/>
  <c r="I78" i="5"/>
  <c r="E78" i="5"/>
  <c r="D78" i="5"/>
  <c r="BT77" i="5"/>
  <c r="BF77" i="5"/>
  <c r="AX77" i="5"/>
  <c r="AW77" i="5"/>
  <c r="AQ77" i="5"/>
  <c r="AR77" i="5" s="1"/>
  <c r="AG77" i="5"/>
  <c r="AH77" i="5" s="1"/>
  <c r="AF77" i="5"/>
  <c r="AD77" i="5"/>
  <c r="AE77" i="5" s="1"/>
  <c r="AC77" i="5"/>
  <c r="AB77" i="5"/>
  <c r="W77" i="5"/>
  <c r="U77" i="5"/>
  <c r="M77" i="5"/>
  <c r="L77" i="5"/>
  <c r="I77" i="5"/>
  <c r="E77" i="5"/>
  <c r="D77" i="5"/>
  <c r="C77" i="5"/>
  <c r="AY77" i="5" s="1"/>
  <c r="BT76" i="5"/>
  <c r="BR76" i="5"/>
  <c r="BN76" i="5"/>
  <c r="AX76" i="5"/>
  <c r="E76" i="5" s="1"/>
  <c r="AQ76" i="5"/>
  <c r="AR76" i="5" s="1"/>
  <c r="AI76" i="5"/>
  <c r="AJ76" i="5" s="1"/>
  <c r="AC76" i="5"/>
  <c r="AD76" i="5" s="1"/>
  <c r="AE76" i="5" s="1"/>
  <c r="AB76" i="5"/>
  <c r="X76" i="5"/>
  <c r="V76" i="5"/>
  <c r="U76" i="5"/>
  <c r="T76" i="5"/>
  <c r="M76" i="5"/>
  <c r="L76" i="5"/>
  <c r="I76" i="5"/>
  <c r="H76" i="5"/>
  <c r="AN76" i="5" s="1"/>
  <c r="D76" i="5"/>
  <c r="C76" i="5"/>
  <c r="AY76" i="5" s="1"/>
  <c r="BT75" i="5"/>
  <c r="AY75" i="5"/>
  <c r="AX75" i="5"/>
  <c r="E75" i="5" s="1"/>
  <c r="AW75" i="5"/>
  <c r="BI78" i="5" s="1"/>
  <c r="AV75" i="5"/>
  <c r="AU75" i="5"/>
  <c r="AT75" i="5"/>
  <c r="AS75" i="5"/>
  <c r="AQ75" i="5"/>
  <c r="AR75" i="5" s="1"/>
  <c r="AO75" i="5"/>
  <c r="AI75" i="5"/>
  <c r="AJ75" i="5" s="1"/>
  <c r="AG75" i="5"/>
  <c r="AH75" i="5" s="1"/>
  <c r="AF75" i="5"/>
  <c r="AB75" i="5"/>
  <c r="W75" i="5"/>
  <c r="U75" i="5"/>
  <c r="T75" i="5"/>
  <c r="M75" i="5"/>
  <c r="L75" i="5"/>
  <c r="I75" i="5"/>
  <c r="H75" i="5"/>
  <c r="AN75" i="5" s="1"/>
  <c r="AP75" i="5" s="1"/>
  <c r="D75" i="5"/>
  <c r="V75" i="5" s="1"/>
  <c r="C75" i="5"/>
  <c r="BR74" i="5"/>
  <c r="BN74" i="5"/>
  <c r="BF74" i="5"/>
  <c r="AX74" i="5"/>
  <c r="AS74" i="5"/>
  <c r="AT74" i="5" s="1"/>
  <c r="AR74" i="5"/>
  <c r="AQ74" i="5"/>
  <c r="AI74" i="5"/>
  <c r="AJ74" i="5" s="1"/>
  <c r="AG74" i="5"/>
  <c r="AH74" i="5" s="1"/>
  <c r="AB74" i="5"/>
  <c r="X74" i="5"/>
  <c r="W74" i="5"/>
  <c r="V74" i="5"/>
  <c r="T74" i="5"/>
  <c r="M74" i="5"/>
  <c r="L74" i="5"/>
  <c r="I74" i="5"/>
  <c r="H74" i="5"/>
  <c r="AN74" i="5" s="1"/>
  <c r="E74" i="5"/>
  <c r="D74" i="5"/>
  <c r="U74" i="5" s="1"/>
  <c r="C74" i="5"/>
  <c r="AY74" i="5" s="1"/>
  <c r="BR73" i="5"/>
  <c r="BN73" i="5"/>
  <c r="BK73" i="5"/>
  <c r="BI73" i="5"/>
  <c r="BF73" i="5"/>
  <c r="AX73" i="5"/>
  <c r="AV73" i="5"/>
  <c r="AU73" i="5"/>
  <c r="AQ73" i="5"/>
  <c r="AR73" i="5" s="1"/>
  <c r="AI73" i="5"/>
  <c r="AJ73" i="5" s="1"/>
  <c r="AF73" i="5"/>
  <c r="W73" i="5"/>
  <c r="M73" i="5"/>
  <c r="L73" i="5"/>
  <c r="I73" i="5"/>
  <c r="H73" i="5"/>
  <c r="AN73" i="5" s="1"/>
  <c r="E73" i="5"/>
  <c r="D73" i="5"/>
  <c r="X73" i="5" s="1"/>
  <c r="BT72" i="5"/>
  <c r="BR72" i="5"/>
  <c r="BN72" i="5"/>
  <c r="BF72" i="5"/>
  <c r="AY72" i="5"/>
  <c r="AX72" i="5"/>
  <c r="E72" i="5" s="1"/>
  <c r="AV72" i="5"/>
  <c r="AU72" i="5"/>
  <c r="AS72" i="5"/>
  <c r="AT72" i="5" s="1"/>
  <c r="AQ72" i="5"/>
  <c r="AR72" i="5" s="1"/>
  <c r="AI72" i="5"/>
  <c r="AJ72" i="5" s="1"/>
  <c r="AH72" i="5"/>
  <c r="AG72" i="5"/>
  <c r="AF72" i="5"/>
  <c r="AB72" i="5"/>
  <c r="X72" i="5"/>
  <c r="W72" i="5"/>
  <c r="V72" i="5"/>
  <c r="U72" i="5"/>
  <c r="T72" i="5"/>
  <c r="M72" i="5"/>
  <c r="L72" i="5"/>
  <c r="I72" i="5"/>
  <c r="D72" i="5"/>
  <c r="AW72" i="5" s="1"/>
  <c r="BF79" i="5" s="1"/>
  <c r="C72" i="5"/>
  <c r="BT71" i="5"/>
  <c r="BR71" i="5"/>
  <c r="BN71" i="5"/>
  <c r="BI71" i="5"/>
  <c r="BF71" i="5"/>
  <c r="BB71" i="5"/>
  <c r="AX71" i="5"/>
  <c r="AG71" i="5"/>
  <c r="AH71" i="5" s="1"/>
  <c r="AF71" i="5"/>
  <c r="AC71" i="5"/>
  <c r="AD71" i="5" s="1"/>
  <c r="AE71" i="5" s="1"/>
  <c r="M71" i="5"/>
  <c r="L71" i="5"/>
  <c r="I71" i="5"/>
  <c r="E71" i="5"/>
  <c r="D71" i="5"/>
  <c r="BT70" i="5"/>
  <c r="BR70" i="5"/>
  <c r="BN70" i="5"/>
  <c r="BI70" i="5"/>
  <c r="BF70" i="5"/>
  <c r="BB70" i="5"/>
  <c r="AY70" i="5"/>
  <c r="AX70" i="5"/>
  <c r="E70" i="5" s="1"/>
  <c r="AF70" i="5"/>
  <c r="AB70" i="5"/>
  <c r="M70" i="5"/>
  <c r="J70" i="5"/>
  <c r="I70" i="5"/>
  <c r="D70" i="5"/>
  <c r="C70" i="5"/>
  <c r="BX69" i="5"/>
  <c r="BV69" i="5"/>
  <c r="BT69" i="5"/>
  <c r="BR69" i="5"/>
  <c r="BN69" i="5"/>
  <c r="BI69" i="5"/>
  <c r="BB69" i="5"/>
  <c r="AX69" i="5"/>
  <c r="E69" i="5" s="1"/>
  <c r="AQ69" i="5"/>
  <c r="AR69" i="5" s="1"/>
  <c r="AG69" i="5"/>
  <c r="AH69" i="5" s="1"/>
  <c r="AF69" i="5"/>
  <c r="AB69" i="5"/>
  <c r="V69" i="5"/>
  <c r="M69" i="5"/>
  <c r="L69" i="5"/>
  <c r="J69" i="5"/>
  <c r="I69" i="5"/>
  <c r="I89" i="5" s="1"/>
  <c r="D69" i="5"/>
  <c r="BT68" i="5"/>
  <c r="BR68" i="5"/>
  <c r="BN68" i="5"/>
  <c r="BI68" i="5"/>
  <c r="BF68" i="5"/>
  <c r="AY68" i="5"/>
  <c r="AW68" i="5"/>
  <c r="BB73" i="5" s="1"/>
  <c r="AV68" i="5"/>
  <c r="AU68" i="5"/>
  <c r="AG68" i="5"/>
  <c r="AH68" i="5" s="1"/>
  <c r="AF68" i="5"/>
  <c r="D68" i="5"/>
  <c r="AX68" i="5" s="1"/>
  <c r="E68" i="5" s="1"/>
  <c r="C68" i="5"/>
  <c r="I61" i="5"/>
  <c r="AH60" i="5"/>
  <c r="AG60" i="5"/>
  <c r="AE60" i="5"/>
  <c r="AF60" i="5" s="1"/>
  <c r="AB60" i="5"/>
  <c r="X60" i="5"/>
  <c r="W60" i="5"/>
  <c r="T60" i="5"/>
  <c r="I60" i="5"/>
  <c r="I63" i="5" s="1"/>
  <c r="AH59" i="5"/>
  <c r="AG59" i="5"/>
  <c r="AF59" i="5"/>
  <c r="AE59" i="5"/>
  <c r="AC59" i="5"/>
  <c r="AB59" i="5"/>
  <c r="AD59" i="5" s="1"/>
  <c r="X59" i="5"/>
  <c r="W59" i="5"/>
  <c r="T59" i="5"/>
  <c r="V59" i="5" s="1"/>
  <c r="L59" i="5"/>
  <c r="AH58" i="5"/>
  <c r="AG58" i="5"/>
  <c r="AF58" i="5"/>
  <c r="AE58" i="5"/>
  <c r="AB58" i="5"/>
  <c r="AD58" i="5" s="1"/>
  <c r="X58" i="5"/>
  <c r="W58" i="5"/>
  <c r="V58" i="5"/>
  <c r="T58" i="5"/>
  <c r="L58" i="5"/>
  <c r="AH57" i="5"/>
  <c r="AG57" i="5"/>
  <c r="AF57" i="5"/>
  <c r="AE57" i="5"/>
  <c r="AC57" i="5"/>
  <c r="AB57" i="5"/>
  <c r="AD57" i="5" s="1"/>
  <c r="X57" i="5"/>
  <c r="W57" i="5"/>
  <c r="T57" i="5"/>
  <c r="V57" i="5" s="1"/>
  <c r="L57" i="5"/>
  <c r="AH56" i="5"/>
  <c r="AG56" i="5"/>
  <c r="AF56" i="5"/>
  <c r="AE56" i="5"/>
  <c r="AB56" i="5"/>
  <c r="AD56" i="5" s="1"/>
  <c r="X56" i="5"/>
  <c r="W56" i="5"/>
  <c r="V56" i="5"/>
  <c r="T56" i="5"/>
  <c r="L56" i="5"/>
  <c r="AH55" i="5"/>
  <c r="AG55" i="5"/>
  <c r="AF55" i="5"/>
  <c r="AE55" i="5"/>
  <c r="AB55" i="5"/>
  <c r="AD55" i="5" s="1"/>
  <c r="X55" i="5"/>
  <c r="W55" i="5"/>
  <c r="V55" i="5"/>
  <c r="T55" i="5"/>
  <c r="L55" i="5"/>
  <c r="AH54" i="5"/>
  <c r="AG54" i="5"/>
  <c r="AF54" i="5"/>
  <c r="AE54" i="5"/>
  <c r="AB54" i="5"/>
  <c r="AD54" i="5" s="1"/>
  <c r="X54" i="5"/>
  <c r="W54" i="5"/>
  <c r="T54" i="5"/>
  <c r="V54" i="5" s="1"/>
  <c r="L54" i="5"/>
  <c r="AH53" i="5"/>
  <c r="AG53" i="5"/>
  <c r="AF53" i="5"/>
  <c r="AE53" i="5"/>
  <c r="AC53" i="5"/>
  <c r="AB53" i="5"/>
  <c r="AD53" i="5" s="1"/>
  <c r="X53" i="5"/>
  <c r="W53" i="5"/>
  <c r="V53" i="5"/>
  <c r="T53" i="5"/>
  <c r="L53" i="5"/>
  <c r="AH52" i="5"/>
  <c r="AG52" i="5"/>
  <c r="AF52" i="5"/>
  <c r="AE52" i="5"/>
  <c r="AB52" i="5"/>
  <c r="AD52" i="5" s="1"/>
  <c r="X52" i="5"/>
  <c r="W52" i="5"/>
  <c r="T52" i="5"/>
  <c r="V52" i="5" s="1"/>
  <c r="L52" i="5"/>
  <c r="AH51" i="5"/>
  <c r="AG51" i="5"/>
  <c r="AF51" i="5"/>
  <c r="AE51" i="5"/>
  <c r="AB51" i="5"/>
  <c r="AD51" i="5" s="1"/>
  <c r="X51" i="5"/>
  <c r="W51" i="5"/>
  <c r="T51" i="5"/>
  <c r="V51" i="5" s="1"/>
  <c r="L51" i="5"/>
  <c r="AH50" i="5"/>
  <c r="AG50" i="5"/>
  <c r="AF50" i="5"/>
  <c r="AE50" i="5"/>
  <c r="AC50" i="5"/>
  <c r="AB50" i="5"/>
  <c r="AD50" i="5" s="1"/>
  <c r="X50" i="5"/>
  <c r="W50" i="5"/>
  <c r="T50" i="5"/>
  <c r="V50" i="5" s="1"/>
  <c r="L50" i="5"/>
  <c r="AH49" i="5"/>
  <c r="AG49" i="5"/>
  <c r="AF49" i="5"/>
  <c r="AE49" i="5"/>
  <c r="AB49" i="5"/>
  <c r="AD49" i="5" s="1"/>
  <c r="X49" i="5"/>
  <c r="W49" i="5"/>
  <c r="V49" i="5"/>
  <c r="T49" i="5"/>
  <c r="L49" i="5"/>
  <c r="AH48" i="5"/>
  <c r="AG48" i="5"/>
  <c r="AF48" i="5"/>
  <c r="AE48" i="5"/>
  <c r="AC48" i="5"/>
  <c r="AB48" i="5"/>
  <c r="AD48" i="5" s="1"/>
  <c r="X48" i="5"/>
  <c r="W48" i="5"/>
  <c r="T48" i="5"/>
  <c r="V48" i="5" s="1"/>
  <c r="L48" i="5"/>
  <c r="AH47" i="5"/>
  <c r="AG47" i="5"/>
  <c r="AF47" i="5"/>
  <c r="AE47" i="5"/>
  <c r="AC47" i="5"/>
  <c r="AB47" i="5"/>
  <c r="AD47" i="5" s="1"/>
  <c r="X47" i="5"/>
  <c r="W47" i="5"/>
  <c r="T47" i="5"/>
  <c r="V47" i="5" s="1"/>
  <c r="L47" i="5"/>
  <c r="AH46" i="5"/>
  <c r="AG46" i="5"/>
  <c r="AF46" i="5"/>
  <c r="AE46" i="5"/>
  <c r="AB46" i="5"/>
  <c r="AD46" i="5" s="1"/>
  <c r="X46" i="5"/>
  <c r="W46" i="5"/>
  <c r="V46" i="5"/>
  <c r="T46" i="5"/>
  <c r="L46" i="5"/>
  <c r="AH45" i="5"/>
  <c r="AG45" i="5"/>
  <c r="AF45" i="5"/>
  <c r="AE45" i="5"/>
  <c r="AC45" i="5"/>
  <c r="AB45" i="5"/>
  <c r="AD45" i="5" s="1"/>
  <c r="X45" i="5"/>
  <c r="W45" i="5"/>
  <c r="T45" i="5"/>
  <c r="V45" i="5" s="1"/>
  <c r="L45" i="5"/>
  <c r="AH44" i="5"/>
  <c r="AG44" i="5"/>
  <c r="AF44" i="5"/>
  <c r="AE44" i="5"/>
  <c r="AB44" i="5"/>
  <c r="AD44" i="5" s="1"/>
  <c r="X44" i="5"/>
  <c r="W44" i="5"/>
  <c r="V44" i="5"/>
  <c r="T44" i="5"/>
  <c r="L44" i="5"/>
  <c r="AH43" i="5"/>
  <c r="AG43" i="5"/>
  <c r="AF43" i="5"/>
  <c r="AE43" i="5"/>
  <c r="AB43" i="5"/>
  <c r="AD43" i="5" s="1"/>
  <c r="X43" i="5"/>
  <c r="W43" i="5"/>
  <c r="V43" i="5"/>
  <c r="T43" i="5"/>
  <c r="L43" i="5"/>
  <c r="AH42" i="5"/>
  <c r="AG42" i="5"/>
  <c r="AF42" i="5"/>
  <c r="AE42" i="5"/>
  <c r="AB42" i="5"/>
  <c r="AD42" i="5" s="1"/>
  <c r="X42" i="5"/>
  <c r="W42" i="5"/>
  <c r="T42" i="5"/>
  <c r="V42" i="5" s="1"/>
  <c r="L42" i="5"/>
  <c r="AH41" i="5"/>
  <c r="AG41" i="5"/>
  <c r="AF41" i="5"/>
  <c r="AE41" i="5"/>
  <c r="AC41" i="5"/>
  <c r="AB41" i="5"/>
  <c r="AD41" i="5" s="1"/>
  <c r="X41" i="5"/>
  <c r="W41" i="5"/>
  <c r="V41" i="5"/>
  <c r="T41" i="5"/>
  <c r="L41" i="5"/>
  <c r="AH40" i="5"/>
  <c r="AG40" i="5"/>
  <c r="AF40" i="5"/>
  <c r="AE40" i="5"/>
  <c r="AB40" i="5"/>
  <c r="AD40" i="5" s="1"/>
  <c r="X40" i="5"/>
  <c r="W40" i="5"/>
  <c r="T40" i="5"/>
  <c r="E40" i="5"/>
  <c r="O35" i="5"/>
  <c r="I35" i="5"/>
  <c r="I33" i="5"/>
  <c r="O33" i="5" s="1"/>
  <c r="M32" i="5"/>
  <c r="I62" i="5" s="1"/>
  <c r="O62" i="5" s="1"/>
  <c r="K32" i="5"/>
  <c r="J32" i="5"/>
  <c r="I34" i="5" s="1"/>
  <c r="O34" i="5" s="1"/>
  <c r="I32" i="5"/>
  <c r="AI31" i="5"/>
  <c r="AH31" i="5"/>
  <c r="AD31" i="5"/>
  <c r="AB31" i="5"/>
  <c r="AC31" i="5" s="1"/>
  <c r="W31" i="5"/>
  <c r="X31" i="5" s="1"/>
  <c r="T31" i="5"/>
  <c r="M31" i="5"/>
  <c r="AG31" i="5" s="1"/>
  <c r="J31" i="5"/>
  <c r="I31" i="5"/>
  <c r="AI30" i="5"/>
  <c r="AG30" i="5"/>
  <c r="AF30" i="5"/>
  <c r="AE30" i="5"/>
  <c r="AD30" i="5"/>
  <c r="AC30" i="5"/>
  <c r="AB30" i="5"/>
  <c r="X30" i="5"/>
  <c r="W30" i="5"/>
  <c r="V30" i="5"/>
  <c r="T30" i="5"/>
  <c r="AH30" i="5" s="1"/>
  <c r="N30" i="5"/>
  <c r="M30" i="5"/>
  <c r="L30" i="5"/>
  <c r="AI29" i="5"/>
  <c r="AG29" i="5"/>
  <c r="AF29" i="5"/>
  <c r="AE29" i="5"/>
  <c r="AB29" i="5"/>
  <c r="AC29" i="5" s="1"/>
  <c r="X29" i="5"/>
  <c r="W29" i="5"/>
  <c r="T29" i="5"/>
  <c r="V29" i="5" s="1"/>
  <c r="N29" i="5"/>
  <c r="M29" i="5"/>
  <c r="L29" i="5"/>
  <c r="AI28" i="5"/>
  <c r="AH28" i="5"/>
  <c r="AG28" i="5"/>
  <c r="AF28" i="5"/>
  <c r="AE28" i="5"/>
  <c r="AD28" i="5"/>
  <c r="AC28" i="5"/>
  <c r="AB28" i="5"/>
  <c r="X28" i="5"/>
  <c r="W28" i="5"/>
  <c r="T28" i="5"/>
  <c r="V28" i="5" s="1"/>
  <c r="N28" i="5"/>
  <c r="M28" i="5"/>
  <c r="L28" i="5"/>
  <c r="AI27" i="5"/>
  <c r="AG27" i="5"/>
  <c r="AF27" i="5"/>
  <c r="AE27" i="5"/>
  <c r="AD27" i="5"/>
  <c r="AC27" i="5"/>
  <c r="AB27" i="5"/>
  <c r="X27" i="5"/>
  <c r="W27" i="5"/>
  <c r="T27" i="5"/>
  <c r="V27" i="5" s="1"/>
  <c r="N27" i="5"/>
  <c r="M27" i="5"/>
  <c r="L27" i="5"/>
  <c r="AI26" i="5"/>
  <c r="AG26" i="5"/>
  <c r="AF26" i="5"/>
  <c r="AE26" i="5"/>
  <c r="AD26" i="5"/>
  <c r="AC26" i="5"/>
  <c r="AB26" i="5"/>
  <c r="W26" i="5"/>
  <c r="X26" i="5" s="1"/>
  <c r="T26" i="5"/>
  <c r="AH26" i="5" s="1"/>
  <c r="N26" i="5"/>
  <c r="M26" i="5"/>
  <c r="L26" i="5"/>
  <c r="AI25" i="5"/>
  <c r="AG25" i="5"/>
  <c r="AF25" i="5"/>
  <c r="AE25" i="5"/>
  <c r="AD25" i="5"/>
  <c r="AC25" i="5"/>
  <c r="AB25" i="5"/>
  <c r="W25" i="5"/>
  <c r="X25" i="5" s="1"/>
  <c r="T25" i="5"/>
  <c r="V25" i="5" s="1"/>
  <c r="N25" i="5"/>
  <c r="M25" i="5"/>
  <c r="L25" i="5"/>
  <c r="AI24" i="5"/>
  <c r="AG24" i="5"/>
  <c r="AF24" i="5"/>
  <c r="AE24" i="5"/>
  <c r="AD24" i="5"/>
  <c r="AC24" i="5"/>
  <c r="AB24" i="5"/>
  <c r="X24" i="5"/>
  <c r="W24" i="5"/>
  <c r="V24" i="5"/>
  <c r="T24" i="5"/>
  <c r="AH24" i="5" s="1"/>
  <c r="N24" i="5"/>
  <c r="M24" i="5"/>
  <c r="L24" i="5"/>
  <c r="AI23" i="5"/>
  <c r="AH23" i="5"/>
  <c r="AG23" i="5"/>
  <c r="AF23" i="5"/>
  <c r="AE23" i="5"/>
  <c r="AD23" i="5"/>
  <c r="AB23" i="5"/>
  <c r="AC23" i="5" s="1"/>
  <c r="X23" i="5"/>
  <c r="W23" i="5"/>
  <c r="V23" i="5"/>
  <c r="T23" i="5"/>
  <c r="N23" i="5"/>
  <c r="M23" i="5"/>
  <c r="L23" i="5"/>
  <c r="AI22" i="5"/>
  <c r="AG22" i="5"/>
  <c r="AF22" i="5"/>
  <c r="AE22" i="5"/>
  <c r="AD22" i="5"/>
  <c r="AC22" i="5"/>
  <c r="AB22" i="5"/>
  <c r="X22" i="5"/>
  <c r="W22" i="5"/>
  <c r="T22" i="5"/>
  <c r="AH22" i="5" s="1"/>
  <c r="N22" i="5"/>
  <c r="M22" i="5"/>
  <c r="L22" i="5"/>
  <c r="AI21" i="5"/>
  <c r="AG21" i="5"/>
  <c r="AF21" i="5"/>
  <c r="AE21" i="5"/>
  <c r="AB21" i="5"/>
  <c r="AD21" i="5" s="1"/>
  <c r="X21" i="5"/>
  <c r="W21" i="5"/>
  <c r="T21" i="5"/>
  <c r="V21" i="5" s="1"/>
  <c r="N21" i="5"/>
  <c r="M21" i="5"/>
  <c r="L21" i="5"/>
  <c r="AI20" i="5"/>
  <c r="AH20" i="5"/>
  <c r="AG20" i="5"/>
  <c r="AF20" i="5"/>
  <c r="AE20" i="5"/>
  <c r="AD20" i="5"/>
  <c r="AC20" i="5"/>
  <c r="AB20" i="5"/>
  <c r="W20" i="5"/>
  <c r="X20" i="5" s="1"/>
  <c r="V20" i="5"/>
  <c r="T20" i="5"/>
  <c r="N20" i="5"/>
  <c r="M20" i="5"/>
  <c r="L20" i="5"/>
  <c r="AI19" i="5"/>
  <c r="AG19" i="5"/>
  <c r="AF19" i="5"/>
  <c r="AE19" i="5"/>
  <c r="AB19" i="5"/>
  <c r="AD19" i="5" s="1"/>
  <c r="W19" i="5"/>
  <c r="X19" i="5" s="1"/>
  <c r="V19" i="5"/>
  <c r="T19" i="5"/>
  <c r="AH19" i="5" s="1"/>
  <c r="N19" i="5"/>
  <c r="M19" i="5"/>
  <c r="L19" i="5"/>
  <c r="AI18" i="5"/>
  <c r="AG18" i="5"/>
  <c r="AF18" i="5"/>
  <c r="AE18" i="5"/>
  <c r="AC18" i="5"/>
  <c r="AB18" i="5"/>
  <c r="AD18" i="5" s="1"/>
  <c r="W18" i="5"/>
  <c r="X18" i="5" s="1"/>
  <c r="T18" i="5"/>
  <c r="V18" i="5" s="1"/>
  <c r="N18" i="5"/>
  <c r="M18" i="5"/>
  <c r="L18" i="5"/>
  <c r="AI17" i="5"/>
  <c r="AH17" i="5"/>
  <c r="AG17" i="5"/>
  <c r="AF17" i="5"/>
  <c r="AE17" i="5"/>
  <c r="AD17" i="5"/>
  <c r="AC17" i="5"/>
  <c r="AB17" i="5"/>
  <c r="W17" i="5"/>
  <c r="X17" i="5" s="1"/>
  <c r="T17" i="5"/>
  <c r="V17" i="5" s="1"/>
  <c r="N17" i="5"/>
  <c r="M17" i="5"/>
  <c r="L17" i="5"/>
  <c r="AI16" i="5"/>
  <c r="AH16" i="5"/>
  <c r="AG16" i="5"/>
  <c r="AF16" i="5"/>
  <c r="AE16" i="5"/>
  <c r="AD16" i="5"/>
  <c r="AC16" i="5"/>
  <c r="AB16" i="5"/>
  <c r="W16" i="5"/>
  <c r="X16" i="5" s="1"/>
  <c r="V16" i="5"/>
  <c r="T16" i="5"/>
  <c r="N16" i="5"/>
  <c r="M16" i="5"/>
  <c r="L16" i="5"/>
  <c r="AI15" i="5"/>
  <c r="AG15" i="5"/>
  <c r="AF15" i="5"/>
  <c r="AE15" i="5"/>
  <c r="AB15" i="5"/>
  <c r="AD15" i="5" s="1"/>
  <c r="W15" i="5"/>
  <c r="X15" i="5" s="1"/>
  <c r="V15" i="5"/>
  <c r="T15" i="5"/>
  <c r="AH15" i="5" s="1"/>
  <c r="N15" i="5"/>
  <c r="M15" i="5"/>
  <c r="L15" i="5"/>
  <c r="AI14" i="5"/>
  <c r="AG14" i="5"/>
  <c r="AF14" i="5"/>
  <c r="AE14" i="5"/>
  <c r="AC14" i="5"/>
  <c r="AB14" i="5"/>
  <c r="AD14" i="5" s="1"/>
  <c r="W14" i="5"/>
  <c r="X14" i="5" s="1"/>
  <c r="T14" i="5"/>
  <c r="V14" i="5" s="1"/>
  <c r="N14" i="5"/>
  <c r="M14" i="5"/>
  <c r="L14" i="5"/>
  <c r="AI13" i="5"/>
  <c r="AH13" i="5"/>
  <c r="AG13" i="5"/>
  <c r="AF13" i="5"/>
  <c r="AE13" i="5"/>
  <c r="AD13" i="5"/>
  <c r="AC13" i="5"/>
  <c r="AB13" i="5"/>
  <c r="W13" i="5"/>
  <c r="X13" i="5" s="1"/>
  <c r="T13" i="5"/>
  <c r="V13" i="5" s="1"/>
  <c r="N13" i="5"/>
  <c r="M13" i="5"/>
  <c r="L13" i="5"/>
  <c r="AI12" i="5"/>
  <c r="AH12" i="5"/>
  <c r="AG12" i="5"/>
  <c r="AF12" i="5"/>
  <c r="AE12" i="5"/>
  <c r="AD12" i="5"/>
  <c r="AC12" i="5"/>
  <c r="AB12" i="5"/>
  <c r="W12" i="5"/>
  <c r="X12" i="5" s="1"/>
  <c r="V12" i="5"/>
  <c r="T12" i="5"/>
  <c r="N12" i="5"/>
  <c r="M12" i="5"/>
  <c r="L12" i="5"/>
  <c r="AI11" i="5"/>
  <c r="AG11" i="5"/>
  <c r="AB11" i="5"/>
  <c r="AB68" i="5" s="1"/>
  <c r="H68" i="5" s="1"/>
  <c r="AN68" i="5" s="1"/>
  <c r="W11" i="5"/>
  <c r="W68" i="5" s="1"/>
  <c r="V11" i="5"/>
  <c r="T11" i="5"/>
  <c r="AH11" i="5" s="1"/>
  <c r="M11" i="5"/>
  <c r="C2" i="5"/>
  <c r="C47" i="4"/>
  <c r="C13" i="4"/>
  <c r="C11" i="4"/>
  <c r="E2" i="4"/>
  <c r="D2" i="4"/>
  <c r="D20" i="3"/>
  <c r="D19" i="3"/>
  <c r="D16" i="3"/>
  <c r="D12" i="3"/>
  <c r="D11" i="3"/>
  <c r="D9" i="3"/>
  <c r="B9" i="3"/>
  <c r="B8" i="3"/>
  <c r="D8" i="3" s="1"/>
  <c r="E6" i="3"/>
  <c r="D6" i="3"/>
  <c r="D7" i="3" s="1"/>
  <c r="C2" i="3"/>
  <c r="E19" i="2"/>
  <c r="E18" i="2"/>
  <c r="E17" i="2"/>
  <c r="E15" i="2"/>
  <c r="E14" i="2"/>
  <c r="E13" i="2"/>
  <c r="E112" i="6" l="1"/>
  <c r="AO68" i="5"/>
  <c r="AP68" i="5"/>
  <c r="AP74" i="5"/>
  <c r="AO74" i="5"/>
  <c r="AC46" i="6"/>
  <c r="AD46" i="6"/>
  <c r="AC11" i="5"/>
  <c r="AC19" i="5"/>
  <c r="V40" i="5"/>
  <c r="L40" i="5" s="1"/>
  <c r="AC44" i="5"/>
  <c r="AC56" i="5"/>
  <c r="BO74" i="5"/>
  <c r="BO79" i="5"/>
  <c r="H82" i="5"/>
  <c r="AN82" i="5" s="1"/>
  <c r="L82" i="5"/>
  <c r="AS82" i="5"/>
  <c r="AT82" i="5" s="1"/>
  <c r="AC82" i="5"/>
  <c r="AD82" i="5" s="1"/>
  <c r="AE82" i="5" s="1"/>
  <c r="C82" i="5"/>
  <c r="AY82" i="5" s="1"/>
  <c r="V82" i="5"/>
  <c r="T82" i="5"/>
  <c r="AQ82" i="5"/>
  <c r="AR82" i="5" s="1"/>
  <c r="AG82" i="5"/>
  <c r="AH82" i="5" s="1"/>
  <c r="AB82" i="5"/>
  <c r="AW82" i="5"/>
  <c r="X82" i="5"/>
  <c r="W82" i="5"/>
  <c r="AI78" i="5"/>
  <c r="AJ78" i="5" s="1"/>
  <c r="T78" i="5"/>
  <c r="AF78" i="5"/>
  <c r="H78" i="5"/>
  <c r="AN78" i="5" s="1"/>
  <c r="AB78" i="5"/>
  <c r="U78" i="5"/>
  <c r="L78" i="5"/>
  <c r="C78" i="5"/>
  <c r="AY78" i="5" s="1"/>
  <c r="AG78" i="5"/>
  <c r="AH78" i="5" s="1"/>
  <c r="AW78" i="5"/>
  <c r="X78" i="5"/>
  <c r="AS78" i="5"/>
  <c r="AT78" i="5" s="1"/>
  <c r="AQ78" i="5"/>
  <c r="AR78" i="5" s="1"/>
  <c r="AC15" i="5"/>
  <c r="AD11" i="5"/>
  <c r="AC68" i="5" s="1"/>
  <c r="AH27" i="5"/>
  <c r="AD29" i="5"/>
  <c r="F134" i="5"/>
  <c r="AC43" i="5"/>
  <c r="AC55" i="5"/>
  <c r="X69" i="5"/>
  <c r="C69" i="5"/>
  <c r="AY69" i="5" s="1"/>
  <c r="G129" i="5" s="1"/>
  <c r="H129" i="5" s="1"/>
  <c r="W69" i="5"/>
  <c r="AW69" i="5"/>
  <c r="AS69" i="5"/>
  <c r="AT69" i="5" s="1"/>
  <c r="H69" i="5"/>
  <c r="AN69" i="5" s="1"/>
  <c r="AC69" i="5"/>
  <c r="AD69" i="5" s="1"/>
  <c r="AE69" i="5" s="1"/>
  <c r="AI69" i="5"/>
  <c r="AJ69" i="5" s="1"/>
  <c r="AS70" i="5"/>
  <c r="AT70" i="5" s="1"/>
  <c r="H70" i="5"/>
  <c r="AN70" i="5" s="1"/>
  <c r="AC70" i="5"/>
  <c r="AD70" i="5" s="1"/>
  <c r="AE70" i="5" s="1"/>
  <c r="W70" i="5"/>
  <c r="AI70" i="5"/>
  <c r="AJ70" i="5" s="1"/>
  <c r="T70" i="5"/>
  <c r="AW70" i="5"/>
  <c r="AG70" i="5"/>
  <c r="AH70" i="5" s="1"/>
  <c r="L70" i="5"/>
  <c r="AQ70" i="5"/>
  <c r="AR70" i="5" s="1"/>
  <c r="AO76" i="5"/>
  <c r="AP76" i="5"/>
  <c r="AC54" i="6"/>
  <c r="AD54" i="6"/>
  <c r="AH14" i="5"/>
  <c r="AH18" i="5"/>
  <c r="V26" i="5"/>
  <c r="V31" i="5"/>
  <c r="N31" i="5" s="1"/>
  <c r="AC42" i="5"/>
  <c r="AC54" i="5"/>
  <c r="AU70" i="5"/>
  <c r="AV70" i="5" s="1"/>
  <c r="AQ68" i="5"/>
  <c r="AR68" i="5" s="1"/>
  <c r="BK85" i="5"/>
  <c r="BK72" i="5"/>
  <c r="BK81" i="5"/>
  <c r="BK84" i="5"/>
  <c r="BK76" i="5"/>
  <c r="BK74" i="5"/>
  <c r="BK83" i="5"/>
  <c r="BK82" i="5"/>
  <c r="BK68" i="5"/>
  <c r="BK86" i="5"/>
  <c r="BK71" i="5"/>
  <c r="BK69" i="5"/>
  <c r="BK87" i="5"/>
  <c r="BK78" i="5"/>
  <c r="BK77" i="5"/>
  <c r="BK70" i="5"/>
  <c r="BK80" i="5"/>
  <c r="BK79" i="5"/>
  <c r="W78" i="5"/>
  <c r="AD22" i="6"/>
  <c r="AC22" i="6"/>
  <c r="AD23" i="6"/>
  <c r="AC23" i="6"/>
  <c r="AC42" i="6"/>
  <c r="AD42" i="6"/>
  <c r="AC21" i="5"/>
  <c r="AH29" i="5"/>
  <c r="AC51" i="5"/>
  <c r="U70" i="5"/>
  <c r="U71" i="5"/>
  <c r="AI71" i="5"/>
  <c r="AJ71" i="5" s="1"/>
  <c r="T71" i="5"/>
  <c r="AW71" i="5"/>
  <c r="H71" i="5"/>
  <c r="AN71" i="5" s="1"/>
  <c r="AQ71" i="5"/>
  <c r="AR71" i="5" s="1"/>
  <c r="AB71" i="5"/>
  <c r="C71" i="5"/>
  <c r="AY71" i="5" s="1"/>
  <c r="G126" i="5" s="1"/>
  <c r="H126" i="5" s="1"/>
  <c r="X71" i="5"/>
  <c r="W71" i="5"/>
  <c r="AS71" i="5"/>
  <c r="AT71" i="5" s="1"/>
  <c r="BK75" i="5"/>
  <c r="AC78" i="5"/>
  <c r="AD78" i="5" s="1"/>
  <c r="AE78" i="5" s="1"/>
  <c r="AH17" i="6"/>
  <c r="V17" i="6"/>
  <c r="AC40" i="5"/>
  <c r="T69" i="5"/>
  <c r="AU69" i="5"/>
  <c r="AV69" i="5" s="1"/>
  <c r="V70" i="5"/>
  <c r="AU71" i="5"/>
  <c r="AV71" i="5" s="1"/>
  <c r="AP79" i="5"/>
  <c r="AO79" i="5"/>
  <c r="AP80" i="5"/>
  <c r="AO80" i="5"/>
  <c r="AF82" i="5"/>
  <c r="AP86" i="5"/>
  <c r="AO86" i="5"/>
  <c r="AD11" i="6"/>
  <c r="AC11" i="6"/>
  <c r="BO81" i="5"/>
  <c r="BO84" i="5"/>
  <c r="BO76" i="5"/>
  <c r="BO83" i="5"/>
  <c r="BO78" i="5"/>
  <c r="BO86" i="5"/>
  <c r="BO82" i="5"/>
  <c r="BO69" i="5"/>
  <c r="BO73" i="5"/>
  <c r="BO87" i="5"/>
  <c r="BO77" i="5"/>
  <c r="BO72" i="5"/>
  <c r="BO70" i="5"/>
  <c r="BO75" i="5"/>
  <c r="BO85" i="5"/>
  <c r="BO68" i="5"/>
  <c r="BO71" i="5"/>
  <c r="AH29" i="6"/>
  <c r="V29" i="6"/>
  <c r="V60" i="5"/>
  <c r="F117" i="5"/>
  <c r="I117" i="5" s="1"/>
  <c r="J117" i="5" s="1"/>
  <c r="F138" i="5"/>
  <c r="AC49" i="5"/>
  <c r="AD60" i="5"/>
  <c r="AC60" i="5"/>
  <c r="U68" i="5"/>
  <c r="U69" i="5"/>
  <c r="X70" i="5"/>
  <c r="AI82" i="5"/>
  <c r="AJ82" i="5" s="1"/>
  <c r="U83" i="5"/>
  <c r="AU83" i="5"/>
  <c r="AV83" i="5" s="1"/>
  <c r="AQ83" i="5"/>
  <c r="AR83" i="5" s="1"/>
  <c r="X83" i="5"/>
  <c r="AI83" i="5"/>
  <c r="AJ83" i="5" s="1"/>
  <c r="AW83" i="5"/>
  <c r="AG83" i="5"/>
  <c r="AH83" i="5" s="1"/>
  <c r="L83" i="5"/>
  <c r="AF83" i="5"/>
  <c r="C83" i="5"/>
  <c r="AY83" i="5" s="1"/>
  <c r="AB83" i="5"/>
  <c r="W83" i="5"/>
  <c r="V83" i="5"/>
  <c r="AO85" i="5"/>
  <c r="AP83" i="5"/>
  <c r="AO83" i="5"/>
  <c r="AC52" i="5"/>
  <c r="AH25" i="5"/>
  <c r="AC58" i="6"/>
  <c r="AD58" i="6"/>
  <c r="AU78" i="5"/>
  <c r="AV78" i="5" s="1"/>
  <c r="AU82" i="5"/>
  <c r="AV82" i="5" s="1"/>
  <c r="AP84" i="5"/>
  <c r="AO84" i="5"/>
  <c r="V22" i="5"/>
  <c r="L31" i="5"/>
  <c r="F135" i="5" s="1"/>
  <c r="I135" i="5" s="1"/>
  <c r="J135" i="5" s="1"/>
  <c r="X11" i="5"/>
  <c r="AH21" i="5"/>
  <c r="AC46" i="5"/>
  <c r="AC58" i="5"/>
  <c r="V71" i="5"/>
  <c r="AP73" i="5"/>
  <c r="AO73" i="5"/>
  <c r="V68" i="5"/>
  <c r="BB68" i="5"/>
  <c r="BF69" i="5"/>
  <c r="H72" i="5"/>
  <c r="AN72" i="5" s="1"/>
  <c r="BI72" i="5"/>
  <c r="BI66" i="5" s="1"/>
  <c r="BX75" i="5" s="1"/>
  <c r="BV75" i="5" s="1"/>
  <c r="AB73" i="5"/>
  <c r="BT73" i="5"/>
  <c r="BF76" i="5"/>
  <c r="AS77" i="5"/>
  <c r="AT77" i="5" s="1"/>
  <c r="AI77" i="5"/>
  <c r="AJ77" i="5" s="1"/>
  <c r="T77" i="5"/>
  <c r="AU77" i="5"/>
  <c r="AV77" i="5" s="1"/>
  <c r="H77" i="5"/>
  <c r="AN77" i="5" s="1"/>
  <c r="X77" i="5"/>
  <c r="V77" i="5"/>
  <c r="L81" i="5"/>
  <c r="AS81" i="5"/>
  <c r="AT81" i="5" s="1"/>
  <c r="AQ85" i="5"/>
  <c r="AR85" i="5" s="1"/>
  <c r="AB87" i="5"/>
  <c r="P1" i="6"/>
  <c r="BB77" i="6"/>
  <c r="BO81" i="6"/>
  <c r="BO69" i="6"/>
  <c r="BO79" i="6"/>
  <c r="BO78" i="6"/>
  <c r="BO85" i="6"/>
  <c r="BO80" i="6"/>
  <c r="BO75" i="6"/>
  <c r="BO83" i="6"/>
  <c r="BO74" i="6"/>
  <c r="BO70" i="6"/>
  <c r="BO76" i="6"/>
  <c r="BO84" i="6"/>
  <c r="BO82" i="6"/>
  <c r="BO68" i="6"/>
  <c r="BO77" i="6"/>
  <c r="BO66" i="6"/>
  <c r="C73" i="5"/>
  <c r="AY73" i="5" s="1"/>
  <c r="G114" i="5" s="1"/>
  <c r="H114" i="5" s="1"/>
  <c r="AC73" i="5"/>
  <c r="AD73" i="5" s="1"/>
  <c r="AE73" i="5" s="1"/>
  <c r="AS73" i="5"/>
  <c r="AT73" i="5" s="1"/>
  <c r="BI77" i="5"/>
  <c r="BT82" i="5"/>
  <c r="BT84" i="5"/>
  <c r="BT85" i="5"/>
  <c r="BT81" i="5"/>
  <c r="BT80" i="5"/>
  <c r="BT86" i="5"/>
  <c r="BI87" i="5"/>
  <c r="BI74" i="5"/>
  <c r="BI86" i="5"/>
  <c r="BI82" i="5"/>
  <c r="BI80" i="5"/>
  <c r="BI84" i="5"/>
  <c r="BI76" i="5"/>
  <c r="M86" i="6"/>
  <c r="BH82" i="6"/>
  <c r="BH70" i="6"/>
  <c r="BH80" i="6"/>
  <c r="BH79" i="6"/>
  <c r="BH77" i="6"/>
  <c r="BH68" i="6"/>
  <c r="BH66" i="6"/>
  <c r="BH72" i="6"/>
  <c r="BH85" i="6"/>
  <c r="BH76" i="6"/>
  <c r="BH81" i="6"/>
  <c r="BH75" i="6"/>
  <c r="BH78" i="6"/>
  <c r="BH71" i="6"/>
  <c r="BH69" i="6"/>
  <c r="BH67" i="6"/>
  <c r="BH84" i="6"/>
  <c r="AU87" i="5"/>
  <c r="AV87" i="5" s="1"/>
  <c r="AF87" i="5"/>
  <c r="AQ87" i="5"/>
  <c r="AR87" i="5" s="1"/>
  <c r="X87" i="5"/>
  <c r="W87" i="5"/>
  <c r="AI87" i="5"/>
  <c r="AJ87" i="5" s="1"/>
  <c r="AW87" i="5"/>
  <c r="AG87" i="5"/>
  <c r="AH87" i="5" s="1"/>
  <c r="AC77" i="6"/>
  <c r="AD77" i="6" s="1"/>
  <c r="AE77" i="6" s="1"/>
  <c r="X77" i="6"/>
  <c r="C77" i="6"/>
  <c r="AU77" i="6"/>
  <c r="AV77" i="6" s="1"/>
  <c r="AF77" i="6"/>
  <c r="T77" i="6"/>
  <c r="L77" i="6"/>
  <c r="AI77" i="6"/>
  <c r="AJ77" i="6" s="1"/>
  <c r="AB77" i="6"/>
  <c r="AS77" i="6"/>
  <c r="AT77" i="6" s="1"/>
  <c r="V77" i="6"/>
  <c r="W77" i="6"/>
  <c r="AQ77" i="6"/>
  <c r="AR77" i="6" s="1"/>
  <c r="AG77" i="6"/>
  <c r="AH77" i="6" s="1"/>
  <c r="AU80" i="6"/>
  <c r="AV80" i="6" s="1"/>
  <c r="AF80" i="6"/>
  <c r="AS80" i="6"/>
  <c r="AT80" i="6" s="1"/>
  <c r="H80" i="6"/>
  <c r="AN80" i="6" s="1"/>
  <c r="AI80" i="6"/>
  <c r="AJ80" i="6" s="1"/>
  <c r="T80" i="6"/>
  <c r="AW80" i="6"/>
  <c r="AC80" i="6"/>
  <c r="AD80" i="6" s="1"/>
  <c r="AE80" i="6" s="1"/>
  <c r="C80" i="6"/>
  <c r="AB80" i="6"/>
  <c r="X80" i="6"/>
  <c r="W80" i="6"/>
  <c r="AQ80" i="6"/>
  <c r="AR80" i="6" s="1"/>
  <c r="V80" i="6"/>
  <c r="AG80" i="6"/>
  <c r="AH80" i="6" s="1"/>
  <c r="U80" i="6"/>
  <c r="L80" i="6"/>
  <c r="AO84" i="6"/>
  <c r="AP84" i="6"/>
  <c r="AS68" i="5"/>
  <c r="AT68" i="5" s="1"/>
  <c r="BB72" i="5"/>
  <c r="AG73" i="5"/>
  <c r="AH73" i="5" s="1"/>
  <c r="AW73" i="5"/>
  <c r="AU74" i="5"/>
  <c r="AV74" i="5" s="1"/>
  <c r="AF74" i="5"/>
  <c r="AW74" i="5"/>
  <c r="AC74" i="5"/>
  <c r="AD74" i="5" s="1"/>
  <c r="AE74" i="5" s="1"/>
  <c r="BN77" i="5"/>
  <c r="BN75" i="5"/>
  <c r="BN66" i="5" s="1"/>
  <c r="BX80" i="5" s="1"/>
  <c r="BV80" i="5" s="1"/>
  <c r="BN80" i="5"/>
  <c r="BN87" i="5"/>
  <c r="BR84" i="5"/>
  <c r="BR80" i="5"/>
  <c r="BR87" i="5"/>
  <c r="BR86" i="5"/>
  <c r="BR77" i="5"/>
  <c r="BR75" i="5"/>
  <c r="BR85" i="5"/>
  <c r="BR66" i="5" s="1"/>
  <c r="BX84" i="5" s="1"/>
  <c r="BV84" i="5" s="1"/>
  <c r="BR81" i="5"/>
  <c r="BF86" i="5"/>
  <c r="H87" i="5"/>
  <c r="AN87" i="5" s="1"/>
  <c r="L41" i="6"/>
  <c r="H77" i="6"/>
  <c r="AN77" i="6" s="1"/>
  <c r="X79" i="6"/>
  <c r="C79" i="6"/>
  <c r="V79" i="6"/>
  <c r="AS79" i="6"/>
  <c r="AT79" i="6" s="1"/>
  <c r="H79" i="6"/>
  <c r="AN79" i="6" s="1"/>
  <c r="L79" i="6"/>
  <c r="AI79" i="6"/>
  <c r="AJ79" i="6" s="1"/>
  <c r="AG79" i="6"/>
  <c r="AH79" i="6" s="1"/>
  <c r="AU79" i="6"/>
  <c r="AV79" i="6" s="1"/>
  <c r="AB79" i="6"/>
  <c r="U79" i="6"/>
  <c r="AC79" i="6"/>
  <c r="AD79" i="6" s="1"/>
  <c r="AE79" i="6" s="1"/>
  <c r="W79" i="6"/>
  <c r="T79" i="6"/>
  <c r="BB76" i="6"/>
  <c r="BB85" i="6"/>
  <c r="BB83" i="6"/>
  <c r="BB75" i="6"/>
  <c r="BB67" i="6"/>
  <c r="BB81" i="6"/>
  <c r="BB74" i="6"/>
  <c r="BB70" i="6"/>
  <c r="BB84" i="6"/>
  <c r="BB79" i="6"/>
  <c r="BB69" i="6"/>
  <c r="BB80" i="6"/>
  <c r="BB78" i="6"/>
  <c r="BB72" i="6"/>
  <c r="BB82" i="6"/>
  <c r="BB66" i="6"/>
  <c r="BB64" i="6" s="1"/>
  <c r="BX66" i="6" s="1"/>
  <c r="BV66" i="6" s="1"/>
  <c r="BB73" i="6"/>
  <c r="AO83" i="6"/>
  <c r="AP83" i="6"/>
  <c r="BH83" i="6"/>
  <c r="T73" i="5"/>
  <c r="BI83" i="5"/>
  <c r="BF85" i="5"/>
  <c r="AS87" i="5"/>
  <c r="AT87" i="5" s="1"/>
  <c r="V13" i="6"/>
  <c r="AH13" i="6"/>
  <c r="V25" i="6"/>
  <c r="AH25" i="6"/>
  <c r="AD50" i="6"/>
  <c r="BB71" i="6"/>
  <c r="BB81" i="5"/>
  <c r="BB75" i="5"/>
  <c r="BB84" i="5"/>
  <c r="BB83" i="5"/>
  <c r="BB78" i="5"/>
  <c r="BB86" i="5"/>
  <c r="BB82" i="5"/>
  <c r="U73" i="5"/>
  <c r="BB74" i="5"/>
  <c r="BI75" i="5"/>
  <c r="BB76" i="5"/>
  <c r="BB77" i="5"/>
  <c r="W81" i="5"/>
  <c r="T81" i="5"/>
  <c r="AF81" i="5"/>
  <c r="H81" i="5"/>
  <c r="AN81" i="5" s="1"/>
  <c r="AB81" i="5"/>
  <c r="V81" i="5"/>
  <c r="AI81" i="5"/>
  <c r="AJ81" i="5" s="1"/>
  <c r="BI81" i="5"/>
  <c r="AW85" i="5"/>
  <c r="U85" i="5"/>
  <c r="AG85" i="5"/>
  <c r="AH85" i="5" s="1"/>
  <c r="AF85" i="5"/>
  <c r="AB85" i="5"/>
  <c r="C85" i="5"/>
  <c r="AY85" i="5" s="1"/>
  <c r="W85" i="5"/>
  <c r="AI85" i="5"/>
  <c r="AJ85" i="5" s="1"/>
  <c r="T87" i="5"/>
  <c r="BT87" i="5"/>
  <c r="V22" i="6"/>
  <c r="AH22" i="6"/>
  <c r="AO74" i="6"/>
  <c r="AP74" i="6"/>
  <c r="T68" i="5"/>
  <c r="AI68" i="5"/>
  <c r="AJ68" i="5" s="1"/>
  <c r="BF84" i="5"/>
  <c r="BF87" i="5"/>
  <c r="BF83" i="5"/>
  <c r="BF78" i="5"/>
  <c r="BF75" i="5"/>
  <c r="AC72" i="5"/>
  <c r="AD72" i="5" s="1"/>
  <c r="AE72" i="5" s="1"/>
  <c r="V73" i="5"/>
  <c r="AS76" i="5"/>
  <c r="AT76" i="5" s="1"/>
  <c r="W76" i="5"/>
  <c r="AW76" i="5"/>
  <c r="AU76" i="5"/>
  <c r="AV76" i="5" s="1"/>
  <c r="AF76" i="5"/>
  <c r="AG76" i="5"/>
  <c r="AH76" i="5" s="1"/>
  <c r="AQ79" i="5"/>
  <c r="AR79" i="5" s="1"/>
  <c r="AB79" i="5"/>
  <c r="C79" i="5"/>
  <c r="AY79" i="5" s="1"/>
  <c r="AS79" i="5"/>
  <c r="AT79" i="5" s="1"/>
  <c r="AC79" i="5"/>
  <c r="AD79" i="5" s="1"/>
  <c r="AE79" i="5" s="1"/>
  <c r="U79" i="5"/>
  <c r="AW79" i="5"/>
  <c r="AG79" i="5"/>
  <c r="AH79" i="5" s="1"/>
  <c r="AU79" i="5"/>
  <c r="AV79" i="5" s="1"/>
  <c r="AI79" i="5"/>
  <c r="AJ79" i="5" s="1"/>
  <c r="BF80" i="5"/>
  <c r="BF66" i="5" s="1"/>
  <c r="BX72" i="5" s="1"/>
  <c r="BV72" i="5" s="1"/>
  <c r="BN83" i="5"/>
  <c r="BI85" i="5"/>
  <c r="BN86" i="5"/>
  <c r="U87" i="5"/>
  <c r="BO67" i="6"/>
  <c r="AP71" i="6"/>
  <c r="AO71" i="6"/>
  <c r="AW77" i="6"/>
  <c r="AF79" i="6"/>
  <c r="BU75" i="6"/>
  <c r="BU85" i="6"/>
  <c r="BU84" i="6"/>
  <c r="BU81" i="6"/>
  <c r="BU66" i="6"/>
  <c r="BU68" i="6"/>
  <c r="BU72" i="6"/>
  <c r="BU79" i="6"/>
  <c r="BU77" i="6"/>
  <c r="BU82" i="6"/>
  <c r="BU83" i="6"/>
  <c r="BU67" i="6"/>
  <c r="BU69" i="6"/>
  <c r="BU78" i="6"/>
  <c r="BU76" i="6"/>
  <c r="BU80" i="6"/>
  <c r="BU74" i="6"/>
  <c r="BU73" i="6"/>
  <c r="BU70" i="6"/>
  <c r="BD78" i="6"/>
  <c r="X75" i="5"/>
  <c r="T86" i="5"/>
  <c r="AD40" i="6"/>
  <c r="AS66" i="6"/>
  <c r="AT66" i="6" s="1"/>
  <c r="H66" i="6"/>
  <c r="AN66" i="6" s="1"/>
  <c r="AC66" i="6"/>
  <c r="AD66" i="6" s="1"/>
  <c r="AE66" i="6" s="1"/>
  <c r="X66" i="6"/>
  <c r="C66" i="6"/>
  <c r="AI66" i="6"/>
  <c r="AJ66" i="6" s="1"/>
  <c r="T66" i="6"/>
  <c r="AG66" i="6"/>
  <c r="AH66" i="6" s="1"/>
  <c r="L66" i="6"/>
  <c r="AP68" i="6"/>
  <c r="BI75" i="6"/>
  <c r="BI85" i="6"/>
  <c r="BI84" i="6"/>
  <c r="BI79" i="6"/>
  <c r="BI77" i="6"/>
  <c r="BI68" i="6"/>
  <c r="BI66" i="6"/>
  <c r="BI82" i="6"/>
  <c r="BI72" i="6"/>
  <c r="BI80" i="6"/>
  <c r="BI78" i="6"/>
  <c r="BI71" i="6"/>
  <c r="BI74" i="6"/>
  <c r="BI70" i="6"/>
  <c r="BI73" i="6"/>
  <c r="BI69" i="6"/>
  <c r="BS77" i="6"/>
  <c r="BS75" i="6"/>
  <c r="BS73" i="6"/>
  <c r="BS69" i="6"/>
  <c r="BS81" i="6"/>
  <c r="BS66" i="6"/>
  <c r="BS84" i="6"/>
  <c r="BS79" i="6"/>
  <c r="BS72" i="6"/>
  <c r="BS82" i="6"/>
  <c r="BS85" i="6"/>
  <c r="BS80" i="6"/>
  <c r="BS70" i="6"/>
  <c r="E108" i="6"/>
  <c r="AH29" i="7"/>
  <c r="V29" i="7"/>
  <c r="O33" i="6"/>
  <c r="L31" i="6"/>
  <c r="D12" i="8" s="1"/>
  <c r="AD11" i="7"/>
  <c r="AC11" i="7"/>
  <c r="AC75" i="5"/>
  <c r="AD75" i="5" s="1"/>
  <c r="AE75" i="5" s="1"/>
  <c r="AG80" i="5"/>
  <c r="AH80" i="5" s="1"/>
  <c r="L80" i="5"/>
  <c r="V86" i="5"/>
  <c r="AD43" i="6"/>
  <c r="AD47" i="6"/>
  <c r="AD51" i="6"/>
  <c r="AD55" i="6"/>
  <c r="BD74" i="6"/>
  <c r="BD84" i="6"/>
  <c r="BD83" i="6"/>
  <c r="BD76" i="6"/>
  <c r="BD70" i="6"/>
  <c r="BD81" i="6"/>
  <c r="BD79" i="6"/>
  <c r="BD77" i="6"/>
  <c r="BD73" i="6"/>
  <c r="BD82" i="6"/>
  <c r="BD85" i="6"/>
  <c r="BD80" i="6"/>
  <c r="BD75" i="6"/>
  <c r="BD67" i="6"/>
  <c r="BD64" i="6" s="1"/>
  <c r="BX68" i="6" s="1"/>
  <c r="BV68" i="6" s="1"/>
  <c r="AI71" i="6"/>
  <c r="AJ71" i="6" s="1"/>
  <c r="T71" i="6"/>
  <c r="L71" i="6"/>
  <c r="AW71" i="6"/>
  <c r="AG71" i="6"/>
  <c r="AH71" i="6" s="1"/>
  <c r="AF71" i="6"/>
  <c r="W71" i="6"/>
  <c r="U71" i="6"/>
  <c r="L75" i="6"/>
  <c r="AG75" i="6"/>
  <c r="AH75" i="6" s="1"/>
  <c r="AW75" i="6"/>
  <c r="AF75" i="6"/>
  <c r="H75" i="6"/>
  <c r="AN75" i="6" s="1"/>
  <c r="AU75" i="6"/>
  <c r="AV75" i="6" s="1"/>
  <c r="AC75" i="6"/>
  <c r="AD75" i="6" s="1"/>
  <c r="AE75" i="6" s="1"/>
  <c r="V75" i="6"/>
  <c r="T75" i="6"/>
  <c r="AS75" i="6"/>
  <c r="AT75" i="6" s="1"/>
  <c r="U76" i="6"/>
  <c r="AW76" i="6"/>
  <c r="AI76" i="6"/>
  <c r="AJ76" i="6" s="1"/>
  <c r="L76" i="6"/>
  <c r="AG76" i="6"/>
  <c r="AH76" i="6" s="1"/>
  <c r="AF76" i="6"/>
  <c r="H76" i="6"/>
  <c r="AN76" i="6" s="1"/>
  <c r="AU76" i="6"/>
  <c r="AV76" i="6" s="1"/>
  <c r="AQ76" i="6"/>
  <c r="AR76" i="6" s="1"/>
  <c r="W76" i="6"/>
  <c r="T76" i="6"/>
  <c r="AS76" i="6"/>
  <c r="AT76" i="6" s="1"/>
  <c r="I33" i="7"/>
  <c r="I32" i="7"/>
  <c r="V66" i="6"/>
  <c r="BD68" i="6"/>
  <c r="AU71" i="6"/>
  <c r="AV71" i="6" s="1"/>
  <c r="BS71" i="6"/>
  <c r="U75" i="6"/>
  <c r="BE76" i="6"/>
  <c r="BI83" i="6"/>
  <c r="AH14" i="6"/>
  <c r="AH26" i="6"/>
  <c r="W66" i="6"/>
  <c r="W75" i="6"/>
  <c r="V76" i="6"/>
  <c r="L40" i="6"/>
  <c r="L59" i="6" s="1"/>
  <c r="P3" i="6" s="1"/>
  <c r="AF66" i="6"/>
  <c r="BE79" i="6"/>
  <c r="BE77" i="6"/>
  <c r="BE81" i="6"/>
  <c r="BE74" i="6"/>
  <c r="BE84" i="6"/>
  <c r="BE73" i="6"/>
  <c r="BE69" i="6"/>
  <c r="BE82" i="6"/>
  <c r="BE72" i="6"/>
  <c r="BE68" i="6"/>
  <c r="BE66" i="6"/>
  <c r="BE78" i="6"/>
  <c r="BE71" i="6"/>
  <c r="BE83" i="6"/>
  <c r="AS70" i="6"/>
  <c r="AT70" i="6" s="1"/>
  <c r="H70" i="6"/>
  <c r="AN70" i="6" s="1"/>
  <c r="U70" i="6"/>
  <c r="T70" i="6"/>
  <c r="AI70" i="6"/>
  <c r="AJ70" i="6" s="1"/>
  <c r="AW70" i="6"/>
  <c r="AG70" i="6"/>
  <c r="AH70" i="6" s="1"/>
  <c r="AB70" i="6"/>
  <c r="C70" i="6"/>
  <c r="W70" i="6"/>
  <c r="X71" i="6"/>
  <c r="AB75" i="6"/>
  <c r="AB76" i="6"/>
  <c r="M31" i="7"/>
  <c r="P1" i="7"/>
  <c r="V23" i="7"/>
  <c r="W80" i="5"/>
  <c r="L86" i="5"/>
  <c r="I86" i="6"/>
  <c r="F103" i="6" s="1"/>
  <c r="AB71" i="6"/>
  <c r="BD71" i="6"/>
  <c r="AI75" i="6"/>
  <c r="AJ75" i="6" s="1"/>
  <c r="AC76" i="6"/>
  <c r="AD76" i="6" s="1"/>
  <c r="AE76" i="6" s="1"/>
  <c r="AD22" i="7"/>
  <c r="AC22" i="7"/>
  <c r="AD39" i="7"/>
  <c r="AC39" i="7"/>
  <c r="AI51" i="7"/>
  <c r="AI50" i="7"/>
  <c r="AI39" i="7"/>
  <c r="AI48" i="7"/>
  <c r="AI55" i="7"/>
  <c r="AI42" i="7"/>
  <c r="AI54" i="7"/>
  <c r="AI41" i="7"/>
  <c r="AI58" i="7"/>
  <c r="AC69" i="6"/>
  <c r="AD69" i="6" s="1"/>
  <c r="AE69" i="6" s="1"/>
  <c r="AS69" i="6"/>
  <c r="AT69" i="6" s="1"/>
  <c r="AG73" i="6"/>
  <c r="AH73" i="6" s="1"/>
  <c r="L73" i="6"/>
  <c r="AC73" i="6"/>
  <c r="AD73" i="6" s="1"/>
  <c r="AE73" i="6" s="1"/>
  <c r="AS73" i="6"/>
  <c r="AT73" i="6" s="1"/>
  <c r="BT74" i="6"/>
  <c r="BT76" i="6"/>
  <c r="BT83" i="6"/>
  <c r="BJ84" i="6"/>
  <c r="AG85" i="6"/>
  <c r="AH85" i="6" s="1"/>
  <c r="L85" i="6"/>
  <c r="U85" i="6"/>
  <c r="AI40" i="7"/>
  <c r="AC56" i="7"/>
  <c r="AP66" i="7"/>
  <c r="AC28" i="7"/>
  <c r="AI43" i="7"/>
  <c r="AD52" i="7"/>
  <c r="AC52" i="7"/>
  <c r="AB67" i="6"/>
  <c r="AQ67" i="6"/>
  <c r="AR67" i="6" s="1"/>
  <c r="L68" i="6"/>
  <c r="H69" i="6"/>
  <c r="AN69" i="6" s="1"/>
  <c r="AU69" i="6"/>
  <c r="AV69" i="6" s="1"/>
  <c r="H73" i="6"/>
  <c r="AN73" i="6" s="1"/>
  <c r="AU73" i="6"/>
  <c r="AV73" i="6" s="1"/>
  <c r="AC74" i="6"/>
  <c r="AD74" i="6" s="1"/>
  <c r="AE74" i="6" s="1"/>
  <c r="AS74" i="6"/>
  <c r="AT74" i="6" s="1"/>
  <c r="BR84" i="6"/>
  <c r="BR72" i="6"/>
  <c r="BR64" i="6" s="1"/>
  <c r="BX82" i="6" s="1"/>
  <c r="BV82" i="6" s="1"/>
  <c r="BR82" i="6"/>
  <c r="BR81" i="6"/>
  <c r="H85" i="6"/>
  <c r="AN85" i="6" s="1"/>
  <c r="F109" i="6"/>
  <c r="AI44" i="7"/>
  <c r="AD41" i="7"/>
  <c r="BL85" i="7"/>
  <c r="BL69" i="7"/>
  <c r="BL77" i="7"/>
  <c r="BL72" i="7"/>
  <c r="BL67" i="7"/>
  <c r="BL64" i="7" s="1"/>
  <c r="BX76" i="7" s="1"/>
  <c r="BV76" i="7" s="1"/>
  <c r="BL84" i="7"/>
  <c r="BL78" i="7"/>
  <c r="BL83" i="7"/>
  <c r="BL74" i="7"/>
  <c r="BL81" i="7"/>
  <c r="BL79" i="7"/>
  <c r="BL75" i="7"/>
  <c r="BL76" i="7"/>
  <c r="BL82" i="7"/>
  <c r="BL73" i="7"/>
  <c r="BL80" i="7"/>
  <c r="H79" i="7"/>
  <c r="AN79" i="7" s="1"/>
  <c r="W79" i="7"/>
  <c r="AI79" i="7"/>
  <c r="AJ79" i="7" s="1"/>
  <c r="L79" i="7"/>
  <c r="AG79" i="7"/>
  <c r="AH79" i="7" s="1"/>
  <c r="C79" i="7"/>
  <c r="AU79" i="7"/>
  <c r="AV79" i="7" s="1"/>
  <c r="AC79" i="7"/>
  <c r="AD79" i="7" s="1"/>
  <c r="AE79" i="7" s="1"/>
  <c r="AS79" i="7"/>
  <c r="AT79" i="7" s="1"/>
  <c r="AB79" i="7"/>
  <c r="AQ79" i="7"/>
  <c r="AR79" i="7" s="1"/>
  <c r="V79" i="7"/>
  <c r="U79" i="7"/>
  <c r="T79" i="7"/>
  <c r="AF79" i="7"/>
  <c r="X79" i="7"/>
  <c r="BT82" i="6"/>
  <c r="BT70" i="6"/>
  <c r="BT80" i="6"/>
  <c r="BT79" i="6"/>
  <c r="O33" i="7"/>
  <c r="L31" i="7"/>
  <c r="D13" i="8" s="1"/>
  <c r="AI47" i="7"/>
  <c r="V68" i="6"/>
  <c r="AI69" i="6"/>
  <c r="AJ69" i="6" s="1"/>
  <c r="BJ80" i="6"/>
  <c r="BJ68" i="6"/>
  <c r="BJ78" i="6"/>
  <c r="BJ77" i="6"/>
  <c r="BT77" i="6"/>
  <c r="BQ79" i="6"/>
  <c r="BQ77" i="6"/>
  <c r="AB83" i="6"/>
  <c r="BQ84" i="6"/>
  <c r="F106" i="6"/>
  <c r="G106" i="6" s="1"/>
  <c r="AI49" i="7"/>
  <c r="BL71" i="7"/>
  <c r="H77" i="7"/>
  <c r="AN77" i="7" s="1"/>
  <c r="AS77" i="7"/>
  <c r="AT77" i="7" s="1"/>
  <c r="AC77" i="7"/>
  <c r="AD77" i="7" s="1"/>
  <c r="AE77" i="7" s="1"/>
  <c r="C77" i="7"/>
  <c r="AU77" i="7"/>
  <c r="AV77" i="7" s="1"/>
  <c r="AB77" i="7"/>
  <c r="X77" i="7"/>
  <c r="AQ77" i="7"/>
  <c r="AR77" i="7" s="1"/>
  <c r="W77" i="7"/>
  <c r="U77" i="7"/>
  <c r="T77" i="7"/>
  <c r="AG77" i="7"/>
  <c r="AH77" i="7" s="1"/>
  <c r="V77" i="7"/>
  <c r="L77" i="7"/>
  <c r="AI77" i="7"/>
  <c r="AJ77" i="7" s="1"/>
  <c r="AF77" i="7"/>
  <c r="BQ81" i="6"/>
  <c r="AC83" i="6"/>
  <c r="AD83" i="6" s="1"/>
  <c r="AE83" i="6" s="1"/>
  <c r="AU83" i="6"/>
  <c r="AV83" i="6" s="1"/>
  <c r="V85" i="6"/>
  <c r="AQ85" i="6"/>
  <c r="AR85" i="6" s="1"/>
  <c r="BJ85" i="6"/>
  <c r="AH14" i="7"/>
  <c r="AC19" i="7"/>
  <c r="AI52" i="7"/>
  <c r="AC43" i="7"/>
  <c r="AC50" i="7"/>
  <c r="AD58" i="7"/>
  <c r="AC58" i="7"/>
  <c r="AW79" i="7"/>
  <c r="BC81" i="6"/>
  <c r="BC69" i="6"/>
  <c r="BC64" i="6" s="1"/>
  <c r="BX67" i="6" s="1"/>
  <c r="BV67" i="6" s="1"/>
  <c r="BC79" i="6"/>
  <c r="BC78" i="6"/>
  <c r="C68" i="6"/>
  <c r="X68" i="6"/>
  <c r="BT68" i="6"/>
  <c r="U69" i="6"/>
  <c r="V73" i="6"/>
  <c r="C83" i="6"/>
  <c r="BC84" i="6"/>
  <c r="BT84" i="6"/>
  <c r="W85" i="6"/>
  <c r="AI53" i="7"/>
  <c r="F104" i="6"/>
  <c r="G104" i="6" s="1"/>
  <c r="F105" i="6"/>
  <c r="G105" i="6" s="1"/>
  <c r="BT66" i="6"/>
  <c r="AU68" i="6"/>
  <c r="AV68" i="6" s="1"/>
  <c r="AF68" i="6"/>
  <c r="AB68" i="6"/>
  <c r="BT81" i="6"/>
  <c r="AI83" i="6"/>
  <c r="AJ83" i="6" s="1"/>
  <c r="T83" i="6"/>
  <c r="AG83" i="6"/>
  <c r="AH83" i="6" s="1"/>
  <c r="L83" i="6"/>
  <c r="W83" i="6"/>
  <c r="BQ83" i="6"/>
  <c r="AS85" i="6"/>
  <c r="AT85" i="6" s="1"/>
  <c r="F111" i="6"/>
  <c r="G111" i="6" s="1"/>
  <c r="AI56" i="7"/>
  <c r="AD46" i="7"/>
  <c r="AC46" i="7"/>
  <c r="AC68" i="6"/>
  <c r="AD68" i="6" s="1"/>
  <c r="AE68" i="6" s="1"/>
  <c r="AS68" i="6"/>
  <c r="AT68" i="6" s="1"/>
  <c r="X69" i="6"/>
  <c r="AQ69" i="6"/>
  <c r="AR69" i="6" s="1"/>
  <c r="BT69" i="6"/>
  <c r="BQ70" i="6"/>
  <c r="BQ64" i="6" s="1"/>
  <c r="BX81" i="6" s="1"/>
  <c r="BV81" i="6" s="1"/>
  <c r="BJ72" i="6"/>
  <c r="BJ64" i="6" s="1"/>
  <c r="BX74" i="6" s="1"/>
  <c r="BV74" i="6" s="1"/>
  <c r="X73" i="6"/>
  <c r="AQ73" i="6"/>
  <c r="AR73" i="6" s="1"/>
  <c r="BT73" i="6"/>
  <c r="U74" i="6"/>
  <c r="BR74" i="6"/>
  <c r="BR76" i="6"/>
  <c r="AW78" i="6"/>
  <c r="AU78" i="6"/>
  <c r="AV78" i="6" s="1"/>
  <c r="AF78" i="6"/>
  <c r="V78" i="6"/>
  <c r="AC78" i="6"/>
  <c r="AD78" i="6" s="1"/>
  <c r="AE78" i="6" s="1"/>
  <c r="BJ82" i="6"/>
  <c r="AF83" i="6"/>
  <c r="BR83" i="6"/>
  <c r="AB85" i="6"/>
  <c r="AU85" i="6"/>
  <c r="AV85" i="6" s="1"/>
  <c r="AI57" i="7"/>
  <c r="AW77" i="7"/>
  <c r="V82" i="7"/>
  <c r="AQ82" i="7"/>
  <c r="AR82" i="7" s="1"/>
  <c r="X82" i="7"/>
  <c r="L82" i="7"/>
  <c r="AS82" i="7"/>
  <c r="AT82" i="7" s="1"/>
  <c r="W82" i="7"/>
  <c r="U82" i="7"/>
  <c r="T82" i="7"/>
  <c r="AI82" i="7"/>
  <c r="AJ82" i="7" s="1"/>
  <c r="H82" i="7"/>
  <c r="AN82" i="7" s="1"/>
  <c r="AG82" i="7"/>
  <c r="AH82" i="7" s="1"/>
  <c r="AW82" i="7"/>
  <c r="C82" i="7"/>
  <c r="AB82" i="7"/>
  <c r="AU82" i="7"/>
  <c r="AV82" i="7" s="1"/>
  <c r="AF82" i="7"/>
  <c r="AC82" i="7"/>
  <c r="AD82" i="7" s="1"/>
  <c r="AE82" i="7" s="1"/>
  <c r="BT82" i="7"/>
  <c r="BT70" i="7"/>
  <c r="BT85" i="7"/>
  <c r="BT76" i="7"/>
  <c r="BT80" i="7"/>
  <c r="BT77" i="7"/>
  <c r="BT67" i="7"/>
  <c r="BT72" i="7"/>
  <c r="BT84" i="7"/>
  <c r="BT73" i="7"/>
  <c r="BT74" i="7"/>
  <c r="BT69" i="7"/>
  <c r="BT66" i="7"/>
  <c r="BT64" i="7" s="1"/>
  <c r="BX84" i="7" s="1"/>
  <c r="BV84" i="7" s="1"/>
  <c r="BT71" i="7"/>
  <c r="BT81" i="7"/>
  <c r="BT78" i="7"/>
  <c r="BT83" i="7"/>
  <c r="BT79" i="7"/>
  <c r="AZ83" i="7"/>
  <c r="AZ79" i="7"/>
  <c r="AZ73" i="7"/>
  <c r="AZ67" i="7"/>
  <c r="AY85" i="7"/>
  <c r="AZ78" i="7"/>
  <c r="AZ72" i="7"/>
  <c r="AZ66" i="7"/>
  <c r="AY83" i="7"/>
  <c r="AY77" i="7"/>
  <c r="AY71" i="7"/>
  <c r="AZ82" i="7"/>
  <c r="AZ76" i="7"/>
  <c r="AZ70" i="7"/>
  <c r="AZ81" i="7"/>
  <c r="AZ75" i="7"/>
  <c r="AZ69" i="7"/>
  <c r="AY76" i="7"/>
  <c r="AU69" i="7"/>
  <c r="AV69" i="7" s="1"/>
  <c r="X76" i="7"/>
  <c r="BJ80" i="7"/>
  <c r="BJ85" i="7"/>
  <c r="BJ77" i="7"/>
  <c r="BJ84" i="7"/>
  <c r="BJ82" i="7"/>
  <c r="BJ71" i="7"/>
  <c r="BJ68" i="7"/>
  <c r="BJ72" i="7"/>
  <c r="BJ67" i="7"/>
  <c r="BJ78" i="7"/>
  <c r="BJ73" i="7"/>
  <c r="BJ66" i="7"/>
  <c r="BJ83" i="7"/>
  <c r="BJ74" i="7"/>
  <c r="BJ75" i="7"/>
  <c r="BJ69" i="7"/>
  <c r="BJ70" i="7"/>
  <c r="AB81" i="6"/>
  <c r="AQ81" i="6"/>
  <c r="AR81" i="6" s="1"/>
  <c r="AJ11" i="7"/>
  <c r="AK16" i="7"/>
  <c r="AK22" i="7"/>
  <c r="AK28" i="7"/>
  <c r="AY68" i="7"/>
  <c r="AY78" i="7"/>
  <c r="AJ17" i="7"/>
  <c r="AJ23" i="7"/>
  <c r="AJ29" i="7"/>
  <c r="AZ68" i="7"/>
  <c r="AY79" i="7"/>
  <c r="BC84" i="7"/>
  <c r="BC82" i="7"/>
  <c r="BC80" i="7"/>
  <c r="BC78" i="7"/>
  <c r="BC76" i="7"/>
  <c r="BC74" i="7"/>
  <c r="BC72" i="7"/>
  <c r="BC70" i="7"/>
  <c r="BC81" i="7"/>
  <c r="BC73" i="7"/>
  <c r="BC79" i="7"/>
  <c r="BC75" i="7"/>
  <c r="BC71" i="7"/>
  <c r="BC68" i="7"/>
  <c r="BC67" i="7"/>
  <c r="T69" i="7"/>
  <c r="V76" i="7"/>
  <c r="AU76" i="7"/>
  <c r="AV76" i="7" s="1"/>
  <c r="AQ76" i="7"/>
  <c r="AR76" i="7" s="1"/>
  <c r="W76" i="7"/>
  <c r="T76" i="7"/>
  <c r="AI76" i="7"/>
  <c r="AJ76" i="7" s="1"/>
  <c r="L76" i="7"/>
  <c r="AG76" i="7"/>
  <c r="AH76" i="7" s="1"/>
  <c r="H76" i="7"/>
  <c r="AN76" i="7" s="1"/>
  <c r="C76" i="7"/>
  <c r="AC76" i="7"/>
  <c r="AD76" i="7" s="1"/>
  <c r="AE76" i="7" s="1"/>
  <c r="BC83" i="7"/>
  <c r="T81" i="6"/>
  <c r="AI81" i="6"/>
  <c r="AJ81" i="6" s="1"/>
  <c r="AB82" i="6"/>
  <c r="AQ82" i="6"/>
  <c r="AR82" i="6" s="1"/>
  <c r="D17" i="8"/>
  <c r="D38" i="8" s="1"/>
  <c r="AJ14" i="7"/>
  <c r="AJ20" i="7"/>
  <c r="AJ26" i="7"/>
  <c r="AY74" i="7"/>
  <c r="AZ84" i="7"/>
  <c r="H73" i="7"/>
  <c r="AN73" i="7" s="1"/>
  <c r="T73" i="7"/>
  <c r="AG73" i="7"/>
  <c r="AH73" i="7" s="1"/>
  <c r="C73" i="7"/>
  <c r="AS73" i="7"/>
  <c r="AT73" i="7" s="1"/>
  <c r="AB73" i="7"/>
  <c r="X73" i="7"/>
  <c r="AQ73" i="7"/>
  <c r="AR73" i="7" s="1"/>
  <c r="W73" i="7"/>
  <c r="U73" i="7"/>
  <c r="AW73" i="7"/>
  <c r="BJ79" i="7"/>
  <c r="BP81" i="7"/>
  <c r="BP73" i="7"/>
  <c r="BP83" i="7"/>
  <c r="BP79" i="7"/>
  <c r="BP74" i="7"/>
  <c r="BP85" i="7"/>
  <c r="BP70" i="7"/>
  <c r="BP76" i="7"/>
  <c r="BP71" i="7"/>
  <c r="BP68" i="7"/>
  <c r="BP82" i="7"/>
  <c r="BP77" i="7"/>
  <c r="BP72" i="7"/>
  <c r="BP67" i="7"/>
  <c r="AZ74" i="7"/>
  <c r="AZ85" i="7"/>
  <c r="AW69" i="7"/>
  <c r="W69" i="7"/>
  <c r="U69" i="7"/>
  <c r="AI69" i="7"/>
  <c r="AJ69" i="7" s="1"/>
  <c r="AG69" i="7"/>
  <c r="AH69" i="7" s="1"/>
  <c r="L69" i="7"/>
  <c r="AF69" i="7"/>
  <c r="H69" i="7"/>
  <c r="AN69" i="7" s="1"/>
  <c r="AS69" i="7"/>
  <c r="AT69" i="7" s="1"/>
  <c r="AC69" i="7"/>
  <c r="AD69" i="7" s="1"/>
  <c r="AE69" i="7" s="1"/>
  <c r="AQ69" i="7"/>
  <c r="AR69" i="7" s="1"/>
  <c r="V72" i="7"/>
  <c r="U72" i="7"/>
  <c r="AU72" i="7"/>
  <c r="AV72" i="7" s="1"/>
  <c r="C72" i="7"/>
  <c r="AS72" i="7"/>
  <c r="AT72" i="7" s="1"/>
  <c r="AB72" i="7"/>
  <c r="AQ72" i="7"/>
  <c r="AR72" i="7" s="1"/>
  <c r="W72" i="7"/>
  <c r="T72" i="7"/>
  <c r="AG72" i="7"/>
  <c r="AH72" i="7" s="1"/>
  <c r="H72" i="7"/>
  <c r="AN72" i="7" s="1"/>
  <c r="AO78" i="7"/>
  <c r="AB72" i="6"/>
  <c r="H82" i="6"/>
  <c r="AN82" i="6" s="1"/>
  <c r="AB84" i="6"/>
  <c r="AJ15" i="7"/>
  <c r="AJ21" i="7"/>
  <c r="AY66" i="7"/>
  <c r="AY75" i="7"/>
  <c r="BC66" i="7"/>
  <c r="U67" i="7"/>
  <c r="AF67" i="7"/>
  <c r="AQ67" i="7"/>
  <c r="AR67" i="7" s="1"/>
  <c r="X67" i="7"/>
  <c r="W67" i="7"/>
  <c r="T67" i="7"/>
  <c r="AI67" i="7"/>
  <c r="AJ67" i="7" s="1"/>
  <c r="AO67" i="7"/>
  <c r="V70" i="7"/>
  <c r="AB70" i="7"/>
  <c r="C70" i="7"/>
  <c r="T70" i="7"/>
  <c r="AI70" i="7"/>
  <c r="AJ70" i="7" s="1"/>
  <c r="L70" i="7"/>
  <c r="AG70" i="7"/>
  <c r="AH70" i="7" s="1"/>
  <c r="AW70" i="7"/>
  <c r="AF70" i="7"/>
  <c r="H70" i="7"/>
  <c r="AN70" i="7" s="1"/>
  <c r="AC70" i="7"/>
  <c r="AD70" i="7" s="1"/>
  <c r="AE70" i="7" s="1"/>
  <c r="AS70" i="7"/>
  <c r="AT70" i="7" s="1"/>
  <c r="X70" i="7"/>
  <c r="AU70" i="7"/>
  <c r="AV70" i="7" s="1"/>
  <c r="AW72" i="7"/>
  <c r="U76" i="7"/>
  <c r="BD78" i="7"/>
  <c r="BD85" i="7"/>
  <c r="BD67" i="7"/>
  <c r="H71" i="7"/>
  <c r="AN71" i="7" s="1"/>
  <c r="W71" i="7"/>
  <c r="AF71" i="7"/>
  <c r="AW71" i="7"/>
  <c r="AW66" i="7"/>
  <c r="T68" i="7"/>
  <c r="BD77" i="7"/>
  <c r="U78" i="7"/>
  <c r="V81" i="7"/>
  <c r="AQ81" i="7"/>
  <c r="AR81" i="7" s="1"/>
  <c r="U83" i="7"/>
  <c r="AQ83" i="7"/>
  <c r="AR83" i="7" s="1"/>
  <c r="BD68" i="7"/>
  <c r="C74" i="7"/>
  <c r="H75" i="7"/>
  <c r="AN75" i="7" s="1"/>
  <c r="AW75" i="7"/>
  <c r="AG75" i="7"/>
  <c r="AH75" i="7" s="1"/>
  <c r="W78" i="7"/>
  <c r="AQ78" i="7"/>
  <c r="AR78" i="7" s="1"/>
  <c r="W81" i="7"/>
  <c r="AS81" i="7"/>
  <c r="AT81" i="7" s="1"/>
  <c r="BD82" i="7"/>
  <c r="W83" i="7"/>
  <c r="V68" i="7"/>
  <c r="BD71" i="7"/>
  <c r="V74" i="7"/>
  <c r="L74" i="7"/>
  <c r="AF75" i="7"/>
  <c r="BD76" i="7"/>
  <c r="X78" i="7"/>
  <c r="AS78" i="7"/>
  <c r="AT78" i="7" s="1"/>
  <c r="BD80" i="7"/>
  <c r="X81" i="7"/>
  <c r="AU81" i="7"/>
  <c r="AV81" i="7" s="1"/>
  <c r="X83" i="7"/>
  <c r="AS83" i="7"/>
  <c r="AT83" i="7" s="1"/>
  <c r="BD69" i="7"/>
  <c r="BD70" i="7"/>
  <c r="U71" i="7"/>
  <c r="C78" i="7"/>
  <c r="AW81" i="7"/>
  <c r="AC83" i="7"/>
  <c r="AD83" i="7" s="1"/>
  <c r="AE83" i="7" s="1"/>
  <c r="AO85" i="7"/>
  <c r="V78" i="7"/>
  <c r="AB78" i="7"/>
  <c r="C81" i="7"/>
  <c r="AB66" i="7"/>
  <c r="X71" i="7"/>
  <c r="BD74" i="7"/>
  <c r="AF78" i="7"/>
  <c r="AW78" i="7"/>
  <c r="H81" i="7"/>
  <c r="AN81" i="7" s="1"/>
  <c r="AB81" i="7"/>
  <c r="T81" i="7"/>
  <c r="AG81" i="7"/>
  <c r="AH81" i="7" s="1"/>
  <c r="H83" i="7"/>
  <c r="AN83" i="7" s="1"/>
  <c r="V83" i="7"/>
  <c r="AW83" i="7"/>
  <c r="AG83" i="7"/>
  <c r="AH83" i="7" s="1"/>
  <c r="AF83" i="7"/>
  <c r="BU85" i="7"/>
  <c r="BU83" i="7"/>
  <c r="BU81" i="7"/>
  <c r="BU79" i="7"/>
  <c r="BU77" i="7"/>
  <c r="BU75" i="7"/>
  <c r="BU73" i="7"/>
  <c r="BU71" i="7"/>
  <c r="BU78" i="7"/>
  <c r="BU70" i="7"/>
  <c r="BU66" i="7"/>
  <c r="F105" i="7"/>
  <c r="AB85" i="7"/>
  <c r="U80" i="7"/>
  <c r="AU84" i="7"/>
  <c r="AV84" i="7" s="1"/>
  <c r="C85" i="7"/>
  <c r="AC85" i="7"/>
  <c r="AD85" i="7" s="1"/>
  <c r="AE85" i="7" s="1"/>
  <c r="AS85" i="7"/>
  <c r="AT85" i="7" s="1"/>
  <c r="AU85" i="7"/>
  <c r="AV85" i="7" s="1"/>
  <c r="T84" i="7"/>
  <c r="AI85" i="7"/>
  <c r="AJ85" i="7" s="1"/>
  <c r="E108" i="5" l="1"/>
  <c r="J108" i="5" s="1"/>
  <c r="BF84" i="6"/>
  <c r="BF72" i="6"/>
  <c r="BF82" i="6"/>
  <c r="BF81" i="6"/>
  <c r="BF73" i="6"/>
  <c r="BF69" i="6"/>
  <c r="BF79" i="6"/>
  <c r="BF77" i="6"/>
  <c r="BF75" i="6"/>
  <c r="BF67" i="6"/>
  <c r="BF76" i="6"/>
  <c r="BF70" i="6"/>
  <c r="BF66" i="6"/>
  <c r="BF85" i="6"/>
  <c r="BF68" i="6"/>
  <c r="BF80" i="6"/>
  <c r="BF78" i="6"/>
  <c r="BF71" i="6"/>
  <c r="BF83" i="6"/>
  <c r="BF74" i="6"/>
  <c r="AO72" i="7"/>
  <c r="AP72" i="7"/>
  <c r="BO84" i="7"/>
  <c r="BO82" i="7"/>
  <c r="BO80" i="7"/>
  <c r="BO78" i="7"/>
  <c r="BO76" i="7"/>
  <c r="BO74" i="7"/>
  <c r="BO72" i="7"/>
  <c r="BO70" i="7"/>
  <c r="BO85" i="7"/>
  <c r="BO73" i="7"/>
  <c r="BO66" i="7"/>
  <c r="BO83" i="7"/>
  <c r="BO81" i="7"/>
  <c r="BO79" i="7"/>
  <c r="BO75" i="7"/>
  <c r="BO69" i="7"/>
  <c r="BO77" i="7"/>
  <c r="BO67" i="7"/>
  <c r="BO68" i="7"/>
  <c r="BO71" i="7"/>
  <c r="BR83" i="7"/>
  <c r="BR80" i="7"/>
  <c r="BR72" i="7"/>
  <c r="BR81" i="7"/>
  <c r="BR74" i="7"/>
  <c r="BR85" i="7"/>
  <c r="BR70" i="7"/>
  <c r="BR76" i="7"/>
  <c r="BR71" i="7"/>
  <c r="BR68" i="7"/>
  <c r="BR82" i="7"/>
  <c r="BR77" i="7"/>
  <c r="BR78" i="7"/>
  <c r="BR84" i="7"/>
  <c r="BR79" i="7"/>
  <c r="BR67" i="7"/>
  <c r="BR69" i="7"/>
  <c r="BR73" i="7"/>
  <c r="BR66" i="7"/>
  <c r="BR75" i="7"/>
  <c r="G109" i="6"/>
  <c r="BQ84" i="7"/>
  <c r="BQ83" i="7"/>
  <c r="BQ79" i="7"/>
  <c r="BQ81" i="7"/>
  <c r="BQ75" i="7"/>
  <c r="BQ69" i="7"/>
  <c r="BQ85" i="7"/>
  <c r="BQ76" i="7"/>
  <c r="BQ71" i="7"/>
  <c r="BQ68" i="7"/>
  <c r="BQ80" i="7"/>
  <c r="BQ72" i="7"/>
  <c r="BQ67" i="7"/>
  <c r="BQ77" i="7"/>
  <c r="BQ74" i="7"/>
  <c r="BQ70" i="7"/>
  <c r="BQ78" i="7"/>
  <c r="BQ73" i="7"/>
  <c r="BQ66" i="7"/>
  <c r="BQ82" i="7"/>
  <c r="AO81" i="7"/>
  <c r="AP81" i="7"/>
  <c r="BK85" i="7"/>
  <c r="BK84" i="7"/>
  <c r="BK76" i="7"/>
  <c r="BK77" i="7"/>
  <c r="BK73" i="7"/>
  <c r="BK83" i="7"/>
  <c r="BK74" i="7"/>
  <c r="BK81" i="7"/>
  <c r="BK79" i="7"/>
  <c r="BK70" i="7"/>
  <c r="BK80" i="7"/>
  <c r="BK78" i="7"/>
  <c r="BK75" i="7"/>
  <c r="BK72" i="7"/>
  <c r="BK68" i="7"/>
  <c r="BK66" i="7"/>
  <c r="BK64" i="7" s="1"/>
  <c r="BX75" i="7" s="1"/>
  <c r="BV75" i="7" s="1"/>
  <c r="BK67" i="7"/>
  <c r="BK71" i="7"/>
  <c r="BK82" i="7"/>
  <c r="BK69" i="7"/>
  <c r="BG82" i="7"/>
  <c r="BG68" i="7"/>
  <c r="BG80" i="7"/>
  <c r="BG71" i="7"/>
  <c r="BG84" i="7"/>
  <c r="BG72" i="7"/>
  <c r="BG67" i="7"/>
  <c r="BG78" i="7"/>
  <c r="BG83" i="7"/>
  <c r="BG81" i="7"/>
  <c r="BG79" i="7"/>
  <c r="BG74" i="7"/>
  <c r="BG76" i="7"/>
  <c r="BG70" i="7"/>
  <c r="BG75" i="7"/>
  <c r="BG66" i="7"/>
  <c r="BG73" i="7"/>
  <c r="BG85" i="7"/>
  <c r="BG69" i="7"/>
  <c r="BG77" i="7"/>
  <c r="AO77" i="7"/>
  <c r="AP77" i="7"/>
  <c r="BE64" i="6"/>
  <c r="BX69" i="6" s="1"/>
  <c r="BV69" i="6" s="1"/>
  <c r="D16" i="8"/>
  <c r="D37" i="8" s="1"/>
  <c r="F16" i="8"/>
  <c r="D24" i="8"/>
  <c r="F12" i="8"/>
  <c r="F20" i="8" s="1"/>
  <c r="C37" i="8"/>
  <c r="BS64" i="6"/>
  <c r="BX83" i="6" s="1"/>
  <c r="BV83" i="6" s="1"/>
  <c r="BU87" i="5"/>
  <c r="BU79" i="5"/>
  <c r="BU74" i="5"/>
  <c r="BU76" i="5"/>
  <c r="BU78" i="5"/>
  <c r="BU77" i="5"/>
  <c r="BU86" i="5"/>
  <c r="BU73" i="5"/>
  <c r="BU81" i="5"/>
  <c r="BU69" i="5"/>
  <c r="BU75" i="5"/>
  <c r="BU84" i="5"/>
  <c r="BU72" i="5"/>
  <c r="BU71" i="5"/>
  <c r="BU82" i="5"/>
  <c r="BU85" i="5"/>
  <c r="BU80" i="5"/>
  <c r="BU70" i="5"/>
  <c r="BU83" i="5"/>
  <c r="BU68" i="5"/>
  <c r="AP71" i="5"/>
  <c r="AO71" i="5"/>
  <c r="AP78" i="5"/>
  <c r="AO78" i="5"/>
  <c r="BK85" i="6"/>
  <c r="BK73" i="6"/>
  <c r="BK83" i="6"/>
  <c r="BK82" i="6"/>
  <c r="BK71" i="6"/>
  <c r="BK80" i="6"/>
  <c r="BK78" i="6"/>
  <c r="BK69" i="6"/>
  <c r="BK79" i="6"/>
  <c r="BK66" i="6"/>
  <c r="BK76" i="6"/>
  <c r="BK77" i="6"/>
  <c r="BK74" i="6"/>
  <c r="BK70" i="6"/>
  <c r="BK72" i="6"/>
  <c r="BK84" i="6"/>
  <c r="BK75" i="6"/>
  <c r="BK67" i="6"/>
  <c r="BK68" i="6"/>
  <c r="BK81" i="6"/>
  <c r="AO81" i="5"/>
  <c r="AP81" i="5"/>
  <c r="L60" i="5"/>
  <c r="BE79" i="5"/>
  <c r="BE80" i="5"/>
  <c r="BE87" i="5"/>
  <c r="BE86" i="5"/>
  <c r="BE77" i="5"/>
  <c r="BE85" i="5"/>
  <c r="BE81" i="5"/>
  <c r="BE84" i="5"/>
  <c r="BE78" i="5"/>
  <c r="BE73" i="5"/>
  <c r="BE72" i="5"/>
  <c r="BE83" i="5"/>
  <c r="BE82" i="5"/>
  <c r="BE71" i="5"/>
  <c r="BE74" i="5"/>
  <c r="BE70" i="5"/>
  <c r="BE76" i="5"/>
  <c r="BE75" i="5"/>
  <c r="BE69" i="5"/>
  <c r="BE68" i="5"/>
  <c r="BK66" i="5"/>
  <c r="BX77" i="5" s="1"/>
  <c r="BV77" i="5" s="1"/>
  <c r="G122" i="5"/>
  <c r="H122" i="5" s="1"/>
  <c r="BC81" i="5"/>
  <c r="BC85" i="5"/>
  <c r="BC79" i="5"/>
  <c r="BC76" i="5"/>
  <c r="BC77" i="5"/>
  <c r="BC74" i="5"/>
  <c r="BC73" i="5"/>
  <c r="BC69" i="5"/>
  <c r="BC84" i="5"/>
  <c r="BC80" i="5"/>
  <c r="BC78" i="5"/>
  <c r="BC75" i="5"/>
  <c r="BC70" i="5"/>
  <c r="BC68" i="5"/>
  <c r="BC87" i="5"/>
  <c r="BC71" i="5"/>
  <c r="BC72" i="5"/>
  <c r="BC86" i="5"/>
  <c r="BC83" i="5"/>
  <c r="BC82" i="5"/>
  <c r="BN82" i="7"/>
  <c r="BN74" i="7"/>
  <c r="BN67" i="7"/>
  <c r="BN84" i="7"/>
  <c r="BN78" i="7"/>
  <c r="BN83" i="7"/>
  <c r="BN81" i="7"/>
  <c r="BN85" i="7"/>
  <c r="BN75" i="7"/>
  <c r="BN70" i="7"/>
  <c r="BN69" i="7"/>
  <c r="BN80" i="7"/>
  <c r="BN71" i="7"/>
  <c r="BN68" i="7"/>
  <c r="BN79" i="7"/>
  <c r="BN77" i="7"/>
  <c r="BN73" i="7"/>
  <c r="BN76" i="7"/>
  <c r="BN66" i="7"/>
  <c r="BN72" i="7"/>
  <c r="AP75" i="7"/>
  <c r="AO75" i="7"/>
  <c r="AO70" i="7"/>
  <c r="AP70" i="7"/>
  <c r="AP82" i="6"/>
  <c r="AO82" i="6"/>
  <c r="BE83" i="7"/>
  <c r="BE80" i="7"/>
  <c r="BE72" i="7"/>
  <c r="BE75" i="7"/>
  <c r="BE82" i="7"/>
  <c r="BE68" i="7"/>
  <c r="BE77" i="7"/>
  <c r="BE85" i="7"/>
  <c r="BE78" i="7"/>
  <c r="BE73" i="7"/>
  <c r="BE84" i="7"/>
  <c r="BE76" i="7"/>
  <c r="BE79" i="7"/>
  <c r="BE81" i="7"/>
  <c r="BE71" i="7"/>
  <c r="BE69" i="7"/>
  <c r="BE70" i="7"/>
  <c r="BE66" i="7"/>
  <c r="BE67" i="7"/>
  <c r="BE74" i="7"/>
  <c r="AP79" i="7"/>
  <c r="AO79" i="7"/>
  <c r="G103" i="6"/>
  <c r="BJ64" i="7"/>
  <c r="BX74" i="7" s="1"/>
  <c r="BV74" i="7" s="1"/>
  <c r="F107" i="6"/>
  <c r="G107" i="6" s="1"/>
  <c r="BT64" i="6"/>
  <c r="BX84" i="6" s="1"/>
  <c r="BV84" i="6" s="1"/>
  <c r="BU64" i="6"/>
  <c r="BX85" i="6" s="1"/>
  <c r="BV85" i="6" s="1"/>
  <c r="AP77" i="6"/>
  <c r="AO77" i="6"/>
  <c r="BP74" i="6"/>
  <c r="BP84" i="6"/>
  <c r="BP83" i="6"/>
  <c r="BP78" i="6"/>
  <c r="BP75" i="6"/>
  <c r="BP70" i="6"/>
  <c r="BP76" i="6"/>
  <c r="BP81" i="6"/>
  <c r="BP73" i="6"/>
  <c r="BP69" i="6"/>
  <c r="BP71" i="6"/>
  <c r="BP67" i="6"/>
  <c r="BP82" i="6"/>
  <c r="BP77" i="6"/>
  <c r="BP66" i="6"/>
  <c r="BP79" i="6"/>
  <c r="BP68" i="6"/>
  <c r="BP72" i="6"/>
  <c r="BP85" i="6"/>
  <c r="BP80" i="6"/>
  <c r="BT66" i="5"/>
  <c r="BX86" i="5" s="1"/>
  <c r="BV86" i="5" s="1"/>
  <c r="G116" i="5"/>
  <c r="G134" i="5"/>
  <c r="H134" i="5" s="1"/>
  <c r="G119" i="5"/>
  <c r="H119" i="5" s="1"/>
  <c r="AF31" i="5"/>
  <c r="AE31" i="5"/>
  <c r="BD86" i="5"/>
  <c r="BD73" i="5"/>
  <c r="BD82" i="5"/>
  <c r="BD75" i="5"/>
  <c r="BD77" i="5"/>
  <c r="BD76" i="5"/>
  <c r="BD69" i="5"/>
  <c r="BD84" i="5"/>
  <c r="BD80" i="5"/>
  <c r="BD78" i="5"/>
  <c r="BD79" i="5"/>
  <c r="BD87" i="5"/>
  <c r="BD71" i="5"/>
  <c r="BD72" i="5"/>
  <c r="BD83" i="5"/>
  <c r="BD74" i="5"/>
  <c r="BD70" i="5"/>
  <c r="BD81" i="5"/>
  <c r="BD85" i="5"/>
  <c r="BD68" i="5"/>
  <c r="BI64" i="6"/>
  <c r="BX73" i="6" s="1"/>
  <c r="BV73" i="6" s="1"/>
  <c r="G127" i="5"/>
  <c r="H127" i="5" s="1"/>
  <c r="G124" i="5"/>
  <c r="H124" i="5" s="1"/>
  <c r="F17" i="8"/>
  <c r="D25" i="8"/>
  <c r="C38" i="8"/>
  <c r="D29" i="8"/>
  <c r="F13" i="8"/>
  <c r="F21" i="8" s="1"/>
  <c r="BL78" i="6"/>
  <c r="BL76" i="6"/>
  <c r="BL71" i="6"/>
  <c r="BL85" i="6"/>
  <c r="BL80" i="6"/>
  <c r="BL67" i="6"/>
  <c r="BL83" i="6"/>
  <c r="BL75" i="6"/>
  <c r="BL84" i="6"/>
  <c r="BL73" i="6"/>
  <c r="BL77" i="6"/>
  <c r="BL72" i="6"/>
  <c r="BL68" i="6"/>
  <c r="BL69" i="6"/>
  <c r="BL79" i="6"/>
  <c r="BL66" i="6"/>
  <c r="BL64" i="6" s="1"/>
  <c r="BX76" i="6" s="1"/>
  <c r="BV76" i="6" s="1"/>
  <c r="BL74" i="6"/>
  <c r="BL81" i="6"/>
  <c r="BL70" i="6"/>
  <c r="BL82" i="6"/>
  <c r="AP87" i="5"/>
  <c r="AO87" i="5"/>
  <c r="G115" i="5"/>
  <c r="H115" i="5" s="1"/>
  <c r="G131" i="5"/>
  <c r="H131" i="5" s="1"/>
  <c r="AO82" i="5"/>
  <c r="AP82" i="5"/>
  <c r="G128" i="5"/>
  <c r="H128" i="5" s="1"/>
  <c r="BF79" i="7"/>
  <c r="BF71" i="7"/>
  <c r="BF85" i="7"/>
  <c r="BF70" i="7"/>
  <c r="BF69" i="7"/>
  <c r="BF76" i="7"/>
  <c r="BF82" i="7"/>
  <c r="BF80" i="7"/>
  <c r="BF77" i="7"/>
  <c r="BF84" i="7"/>
  <c r="BF72" i="7"/>
  <c r="BF67" i="7"/>
  <c r="BF73" i="7"/>
  <c r="BF66" i="7"/>
  <c r="BF83" i="7"/>
  <c r="BF81" i="7"/>
  <c r="BF78" i="7"/>
  <c r="BF75" i="7"/>
  <c r="BF68" i="7"/>
  <c r="BF74" i="7"/>
  <c r="BD64" i="7"/>
  <c r="BX68" i="7" s="1"/>
  <c r="BV68" i="7" s="1"/>
  <c r="BU64" i="7"/>
  <c r="BX85" i="7" s="1"/>
  <c r="BV85" i="7" s="1"/>
  <c r="AO73" i="7"/>
  <c r="AP73" i="7"/>
  <c r="AP80" i="6"/>
  <c r="AO80" i="6"/>
  <c r="BH64" i="6"/>
  <c r="BX72" i="6" s="1"/>
  <c r="BV72" i="6" s="1"/>
  <c r="AP72" i="5"/>
  <c r="AO72" i="5"/>
  <c r="G123" i="5"/>
  <c r="H123" i="5" s="1"/>
  <c r="BS79" i="7"/>
  <c r="BS71" i="7"/>
  <c r="BS68" i="7"/>
  <c r="BS85" i="7"/>
  <c r="BS75" i="7"/>
  <c r="BS69" i="7"/>
  <c r="BS82" i="7"/>
  <c r="BS80" i="7"/>
  <c r="BS77" i="7"/>
  <c r="BS67" i="7"/>
  <c r="BS78" i="7"/>
  <c r="BS66" i="7"/>
  <c r="BS84" i="7"/>
  <c r="BS73" i="7"/>
  <c r="BS83" i="7"/>
  <c r="BS74" i="7"/>
  <c r="BS76" i="7"/>
  <c r="BS81" i="7"/>
  <c r="BS72" i="7"/>
  <c r="BS70" i="7"/>
  <c r="AP69" i="7"/>
  <c r="AO69" i="7"/>
  <c r="AP73" i="6"/>
  <c r="AO73" i="6"/>
  <c r="G106" i="7"/>
  <c r="H106" i="7" s="1"/>
  <c r="G104" i="7"/>
  <c r="H104" i="7" s="1"/>
  <c r="G103" i="7"/>
  <c r="P5" i="7"/>
  <c r="D21" i="8" s="1"/>
  <c r="E21" i="8" s="1" a="1"/>
  <c r="E21" i="8" s="1"/>
  <c r="AP66" i="6"/>
  <c r="AO66" i="6"/>
  <c r="G130" i="5"/>
  <c r="H130" i="5" s="1"/>
  <c r="AE11" i="5"/>
  <c r="BL78" i="5"/>
  <c r="BL85" i="5"/>
  <c r="BL79" i="5"/>
  <c r="BL87" i="5"/>
  <c r="BL83" i="5"/>
  <c r="BL82" i="5"/>
  <c r="BL68" i="5"/>
  <c r="BL86" i="5"/>
  <c r="BL71" i="5"/>
  <c r="BL74" i="5"/>
  <c r="BL73" i="5"/>
  <c r="BL72" i="5"/>
  <c r="BL70" i="5"/>
  <c r="BL84" i="5"/>
  <c r="BL80" i="5"/>
  <c r="BL75" i="5"/>
  <c r="BL81" i="5"/>
  <c r="BL77" i="5"/>
  <c r="BL69" i="5"/>
  <c r="BL76" i="5"/>
  <c r="BP86" i="5"/>
  <c r="BP85" i="5"/>
  <c r="BP81" i="5"/>
  <c r="BP73" i="5"/>
  <c r="BP79" i="5"/>
  <c r="BP77" i="5"/>
  <c r="BP75" i="5"/>
  <c r="BP69" i="5"/>
  <c r="BP74" i="5"/>
  <c r="BP71" i="5"/>
  <c r="BP82" i="5"/>
  <c r="BP83" i="5"/>
  <c r="BP72" i="5"/>
  <c r="BP76" i="5"/>
  <c r="BP87" i="5"/>
  <c r="BP68" i="5"/>
  <c r="BP84" i="5"/>
  <c r="BP80" i="5"/>
  <c r="BP78" i="5"/>
  <c r="BP70" i="5"/>
  <c r="BB66" i="5"/>
  <c r="BX68" i="5" s="1"/>
  <c r="BV68" i="5" s="1"/>
  <c r="BO66" i="5"/>
  <c r="BX81" i="5" s="1"/>
  <c r="BV81" i="5" s="1"/>
  <c r="G118" i="5"/>
  <c r="H118" i="5" s="1"/>
  <c r="AO70" i="5"/>
  <c r="AP70" i="5"/>
  <c r="BP64" i="7"/>
  <c r="BX80" i="7" s="1"/>
  <c r="BV80" i="7" s="1"/>
  <c r="BI85" i="7"/>
  <c r="BI83" i="7"/>
  <c r="BI81" i="7"/>
  <c r="BI79" i="7"/>
  <c r="BI77" i="7"/>
  <c r="BI75" i="7"/>
  <c r="BI73" i="7"/>
  <c r="BI71" i="7"/>
  <c r="BI66" i="7"/>
  <c r="BI80" i="7"/>
  <c r="BI82" i="7"/>
  <c r="BI84" i="7"/>
  <c r="BI78" i="7"/>
  <c r="BI69" i="7"/>
  <c r="BI76" i="7"/>
  <c r="BI72" i="7"/>
  <c r="BI68" i="7"/>
  <c r="BI67" i="7"/>
  <c r="BI70" i="7"/>
  <c r="BI74" i="7"/>
  <c r="AP70" i="6"/>
  <c r="AO70" i="6"/>
  <c r="BJ80" i="5"/>
  <c r="BJ87" i="5"/>
  <c r="BJ83" i="5"/>
  <c r="BJ78" i="5"/>
  <c r="BJ86" i="5"/>
  <c r="BJ77" i="5"/>
  <c r="BJ79" i="5"/>
  <c r="BJ81" i="5"/>
  <c r="BJ75" i="5"/>
  <c r="BJ82" i="5"/>
  <c r="BJ76" i="5"/>
  <c r="BJ72" i="5"/>
  <c r="BJ84" i="5"/>
  <c r="BJ70" i="5"/>
  <c r="BJ74" i="5"/>
  <c r="BJ68" i="5"/>
  <c r="BJ85" i="5"/>
  <c r="BJ73" i="5"/>
  <c r="BJ69" i="5"/>
  <c r="BJ71" i="5"/>
  <c r="BH82" i="5"/>
  <c r="BH79" i="5"/>
  <c r="BH70" i="5"/>
  <c r="BH85" i="5"/>
  <c r="BH81" i="5"/>
  <c r="BH75" i="5"/>
  <c r="BH71" i="5"/>
  <c r="BH76" i="5"/>
  <c r="BH73" i="5"/>
  <c r="BH78" i="5"/>
  <c r="BH77" i="5"/>
  <c r="BH83" i="5"/>
  <c r="BH74" i="5"/>
  <c r="BH87" i="5"/>
  <c r="BH84" i="5"/>
  <c r="BH86" i="5"/>
  <c r="BH68" i="5"/>
  <c r="BH80" i="5"/>
  <c r="BH72" i="5"/>
  <c r="BH69" i="5"/>
  <c r="AO83" i="7"/>
  <c r="AP83" i="7"/>
  <c r="BH81" i="7"/>
  <c r="BH78" i="7"/>
  <c r="BH70" i="7"/>
  <c r="BH85" i="7"/>
  <c r="BH76" i="7"/>
  <c r="BH80" i="7"/>
  <c r="BH82" i="7"/>
  <c r="BH77" i="7"/>
  <c r="BH68" i="7"/>
  <c r="BH84" i="7"/>
  <c r="BH72" i="7"/>
  <c r="BH73" i="7"/>
  <c r="BH66" i="7"/>
  <c r="BH79" i="7"/>
  <c r="BH74" i="7"/>
  <c r="BH75" i="7"/>
  <c r="BH83" i="7"/>
  <c r="BH67" i="7"/>
  <c r="BH71" i="7"/>
  <c r="BH69" i="7"/>
  <c r="BN76" i="6"/>
  <c r="BN85" i="6"/>
  <c r="BN71" i="6"/>
  <c r="BN67" i="6"/>
  <c r="BN80" i="6"/>
  <c r="BN78" i="6"/>
  <c r="BN75" i="6"/>
  <c r="BN83" i="6"/>
  <c r="BN74" i="6"/>
  <c r="BN77" i="6"/>
  <c r="BN72" i="6"/>
  <c r="BN68" i="6"/>
  <c r="BN82" i="6"/>
  <c r="BN70" i="6"/>
  <c r="BN73" i="6"/>
  <c r="BN81" i="6"/>
  <c r="BN84" i="6"/>
  <c r="BN79" i="6"/>
  <c r="BN66" i="6"/>
  <c r="BN69" i="6"/>
  <c r="F113" i="6"/>
  <c r="G113" i="6" s="1"/>
  <c r="H113" i="6" s="1"/>
  <c r="I113" i="6" s="1"/>
  <c r="AP69" i="6"/>
  <c r="AO69" i="6"/>
  <c r="BG77" i="6"/>
  <c r="BG75" i="6"/>
  <c r="BG84" i="6"/>
  <c r="BG73" i="6"/>
  <c r="BG69" i="6"/>
  <c r="BG79" i="6"/>
  <c r="BG82" i="6"/>
  <c r="BG68" i="6"/>
  <c r="BG66" i="6"/>
  <c r="BG85" i="6"/>
  <c r="BG83" i="6"/>
  <c r="BG74" i="6"/>
  <c r="BG80" i="6"/>
  <c r="BG76" i="6"/>
  <c r="BG81" i="6"/>
  <c r="BG78" i="6"/>
  <c r="BG72" i="6"/>
  <c r="BG71" i="6"/>
  <c r="BG67" i="6"/>
  <c r="BG70" i="6"/>
  <c r="BM83" i="6"/>
  <c r="BM71" i="6"/>
  <c r="BM81" i="6"/>
  <c r="BM80" i="6"/>
  <c r="BM85" i="6"/>
  <c r="BM67" i="6"/>
  <c r="BM78" i="6"/>
  <c r="BM75" i="6"/>
  <c r="BM76" i="6"/>
  <c r="BM74" i="6"/>
  <c r="BM70" i="6"/>
  <c r="BM79" i="6"/>
  <c r="BM66" i="6"/>
  <c r="BM82" i="6"/>
  <c r="BM68" i="6"/>
  <c r="BM73" i="6"/>
  <c r="BM84" i="6"/>
  <c r="BM69" i="6"/>
  <c r="BM72" i="6"/>
  <c r="BM77" i="6"/>
  <c r="BS77" i="5"/>
  <c r="BS76" i="5"/>
  <c r="BS87" i="5"/>
  <c r="BS83" i="5"/>
  <c r="BS78" i="5"/>
  <c r="BS72" i="5"/>
  <c r="BS70" i="5"/>
  <c r="BS79" i="5"/>
  <c r="BS68" i="5"/>
  <c r="BS82" i="5"/>
  <c r="BS69" i="5"/>
  <c r="BS86" i="5"/>
  <c r="BS85" i="5"/>
  <c r="BS81" i="5"/>
  <c r="BS80" i="5"/>
  <c r="BS84" i="5"/>
  <c r="BS75" i="5"/>
  <c r="BS73" i="5"/>
  <c r="BS71" i="5"/>
  <c r="BS74" i="5"/>
  <c r="BO64" i="6"/>
  <c r="BX79" i="6" s="1"/>
  <c r="BV79" i="6" s="1"/>
  <c r="AP77" i="5"/>
  <c r="AO77" i="5"/>
  <c r="BQ79" i="5"/>
  <c r="BQ82" i="5"/>
  <c r="BQ74" i="5"/>
  <c r="BQ73" i="5"/>
  <c r="BQ87" i="5"/>
  <c r="BQ84" i="5"/>
  <c r="BQ80" i="5"/>
  <c r="BQ78" i="5"/>
  <c r="BQ85" i="5"/>
  <c r="BQ81" i="5"/>
  <c r="BQ71" i="5"/>
  <c r="BQ83" i="5"/>
  <c r="BQ77" i="5"/>
  <c r="BQ76" i="5"/>
  <c r="BQ68" i="5"/>
  <c r="BQ72" i="5"/>
  <c r="BQ86" i="5"/>
  <c r="BQ75" i="5"/>
  <c r="BQ69" i="5"/>
  <c r="BQ70" i="5"/>
  <c r="G125" i="5"/>
  <c r="H125" i="5" s="1"/>
  <c r="BM83" i="5"/>
  <c r="BM86" i="5"/>
  <c r="BM82" i="5"/>
  <c r="BM85" i="5"/>
  <c r="BM74" i="5"/>
  <c r="BM78" i="5"/>
  <c r="BM71" i="5"/>
  <c r="BM87" i="5"/>
  <c r="BM84" i="5"/>
  <c r="BM80" i="5"/>
  <c r="BM79" i="5"/>
  <c r="BM75" i="5"/>
  <c r="BM81" i="5"/>
  <c r="BM70" i="5"/>
  <c r="BM77" i="5"/>
  <c r="BM76" i="5"/>
  <c r="BM68" i="5"/>
  <c r="BM66" i="5" s="1"/>
  <c r="BX79" i="5" s="1"/>
  <c r="BV79" i="5" s="1"/>
  <c r="BM73" i="5"/>
  <c r="BM69" i="5"/>
  <c r="BM72" i="5"/>
  <c r="AP79" i="6"/>
  <c r="AO79" i="6"/>
  <c r="G121" i="5"/>
  <c r="H121" i="5" s="1"/>
  <c r="G133" i="5"/>
  <c r="H133" i="5" s="1"/>
  <c r="L61" i="5"/>
  <c r="AP71" i="7"/>
  <c r="AO71" i="7"/>
  <c r="BC64" i="7"/>
  <c r="BX67" i="7" s="1"/>
  <c r="BV67" i="7" s="1"/>
  <c r="AO76" i="7"/>
  <c r="AP76" i="7"/>
  <c r="BM83" i="7"/>
  <c r="BM75" i="7"/>
  <c r="BM84" i="7"/>
  <c r="BM78" i="7"/>
  <c r="BM73" i="7"/>
  <c r="BM66" i="7"/>
  <c r="BM81" i="7"/>
  <c r="BM79" i="7"/>
  <c r="BM85" i="7"/>
  <c r="BM70" i="7"/>
  <c r="BM69" i="7"/>
  <c r="BM76" i="7"/>
  <c r="BM82" i="7"/>
  <c r="BM80" i="7"/>
  <c r="BM71" i="7"/>
  <c r="BM68" i="7"/>
  <c r="BM67" i="7"/>
  <c r="BM77" i="7"/>
  <c r="BM72" i="7"/>
  <c r="BM74" i="7"/>
  <c r="AP85" i="6"/>
  <c r="AO85" i="6"/>
  <c r="BG77" i="5"/>
  <c r="BG84" i="5"/>
  <c r="BG76" i="5"/>
  <c r="BG85" i="5"/>
  <c r="BG81" i="5"/>
  <c r="BG80" i="5"/>
  <c r="BG79" i="5"/>
  <c r="BG72" i="5"/>
  <c r="BG70" i="5"/>
  <c r="BG68" i="5"/>
  <c r="BG87" i="5"/>
  <c r="BG74" i="5"/>
  <c r="BG69" i="5"/>
  <c r="BG73" i="5"/>
  <c r="BG83" i="5"/>
  <c r="BG86" i="5"/>
  <c r="BG75" i="5"/>
  <c r="BG82" i="5"/>
  <c r="BG71" i="5"/>
  <c r="BG78" i="5"/>
  <c r="X68" i="5"/>
  <c r="L68" i="5" s="1"/>
  <c r="AF11" i="5"/>
  <c r="L11" i="5"/>
  <c r="G120" i="5"/>
  <c r="H120" i="5" s="1"/>
  <c r="BB85" i="7"/>
  <c r="BB67" i="7"/>
  <c r="BB83" i="7"/>
  <c r="BB81" i="7"/>
  <c r="BB66" i="7"/>
  <c r="BB79" i="7"/>
  <c r="BB69" i="7"/>
  <c r="BB80" i="7"/>
  <c r="BB76" i="7"/>
  <c r="BB82" i="7"/>
  <c r="BB71" i="7"/>
  <c r="BB84" i="7"/>
  <c r="BB77" i="7"/>
  <c r="BB72" i="7"/>
  <c r="BB75" i="7"/>
  <c r="BB73" i="7"/>
  <c r="BB74" i="7"/>
  <c r="BB78" i="7"/>
  <c r="BB70" i="7"/>
  <c r="BB68" i="7"/>
  <c r="AP82" i="7"/>
  <c r="AO82" i="7"/>
  <c r="AO76" i="6"/>
  <c r="AP76" i="6"/>
  <c r="AO75" i="6"/>
  <c r="AP75" i="6"/>
  <c r="L86" i="6"/>
  <c r="P4" i="6" s="1"/>
  <c r="F110" i="6"/>
  <c r="G110" i="6" s="1"/>
  <c r="G132" i="5"/>
  <c r="H132" i="5" s="1"/>
  <c r="AP69" i="5"/>
  <c r="AO69" i="5"/>
  <c r="N11" i="5"/>
  <c r="N32" i="5" s="1"/>
  <c r="P2" i="5" s="1"/>
  <c r="G108" i="6" l="1"/>
  <c r="F115" i="6" s="1"/>
  <c r="L89" i="5"/>
  <c r="P4" i="5" s="1"/>
  <c r="G117" i="5"/>
  <c r="H117" i="5" s="1"/>
  <c r="BO64" i="7"/>
  <c r="BX79" i="7" s="1"/>
  <c r="BV79" i="7" s="1"/>
  <c r="O36" i="5"/>
  <c r="L32" i="5"/>
  <c r="D11" i="8" s="1"/>
  <c r="F139" i="5"/>
  <c r="F116" i="5"/>
  <c r="H116" i="5" s="1"/>
  <c r="BJ66" i="5"/>
  <c r="BX76" i="5" s="1"/>
  <c r="BV76" i="5" s="1"/>
  <c r="BP66" i="5"/>
  <c r="BX82" i="5" s="1"/>
  <c r="BV82" i="5" s="1"/>
  <c r="P1" i="5"/>
  <c r="P5" i="5" s="1"/>
  <c r="D19" i="8" s="1"/>
  <c r="BF64" i="7"/>
  <c r="BX70" i="7" s="1"/>
  <c r="BV70" i="7" s="1"/>
  <c r="BE64" i="7"/>
  <c r="BX69" i="7" s="1"/>
  <c r="BV69" i="7" s="1"/>
  <c r="BN64" i="7"/>
  <c r="BX78" i="7" s="1"/>
  <c r="BV78" i="7" s="1"/>
  <c r="BM64" i="7"/>
  <c r="BX77" i="7" s="1"/>
  <c r="BV77" i="7" s="1"/>
  <c r="BH66" i="5"/>
  <c r="BX74" i="5" s="1"/>
  <c r="BV74" i="5" s="1"/>
  <c r="P5" i="6"/>
  <c r="D20" i="8" s="1"/>
  <c r="E20" i="8" s="1" a="1"/>
  <c r="E20" i="8" s="1"/>
  <c r="BG66" i="5"/>
  <c r="BX73" i="5" s="1"/>
  <c r="BV73" i="5" s="1"/>
  <c r="G135" i="5"/>
  <c r="H135" i="5" s="1"/>
  <c r="BK64" i="6"/>
  <c r="BX75" i="6" s="1"/>
  <c r="BV75" i="6" s="1"/>
  <c r="F112" i="6"/>
  <c r="BC66" i="5"/>
  <c r="BI64" i="7"/>
  <c r="BX73" i="7" s="1"/>
  <c r="BV73" i="7" s="1"/>
  <c r="BL66" i="5"/>
  <c r="BX78" i="5" s="1"/>
  <c r="BV78" i="5" s="1"/>
  <c r="G105" i="7"/>
  <c r="H103" i="7"/>
  <c r="AD68" i="5"/>
  <c r="AE68" i="5" s="1"/>
  <c r="G112" i="6"/>
  <c r="H109" i="6" s="1"/>
  <c r="I112" i="6" s="1"/>
  <c r="BD66" i="5"/>
  <c r="BX70" i="5" s="1"/>
  <c r="BV70" i="5" s="1"/>
  <c r="BB64" i="7"/>
  <c r="BX66" i="7" s="1"/>
  <c r="BV66" i="7" s="1"/>
  <c r="BM64" i="6"/>
  <c r="BX77" i="6" s="1"/>
  <c r="BV77" i="6" s="1"/>
  <c r="BG64" i="6"/>
  <c r="BX71" i="6" s="1"/>
  <c r="BV71" i="6" s="1"/>
  <c r="F116" i="6"/>
  <c r="F117" i="6" s="1"/>
  <c r="G115" i="6"/>
  <c r="F114" i="6"/>
  <c r="BE66" i="5"/>
  <c r="BX71" i="5" s="1"/>
  <c r="BV71" i="5" s="1"/>
  <c r="BG64" i="7"/>
  <c r="BX71" i="7" s="1"/>
  <c r="BV71" i="7" s="1"/>
  <c r="F108" i="6"/>
  <c r="F24" i="8"/>
  <c r="E24" i="8" a="1"/>
  <c r="E24" i="8" s="1"/>
  <c r="BR64" i="7"/>
  <c r="BX82" i="7" s="1"/>
  <c r="BV82" i="7" s="1"/>
  <c r="BF64" i="6"/>
  <c r="BX70" i="6" s="1"/>
  <c r="BV70" i="6" s="1"/>
  <c r="P3" i="5"/>
  <c r="BN64" i="6"/>
  <c r="BX78" i="6" s="1"/>
  <c r="BV78" i="6" s="1"/>
  <c r="BS64" i="7"/>
  <c r="BX83" i="7" s="1"/>
  <c r="BV83" i="7" s="1"/>
  <c r="F25" i="8"/>
  <c r="E25" i="8" a="1"/>
  <c r="E25" i="8" s="1"/>
  <c r="BU66" i="5"/>
  <c r="BX87" i="5" s="1"/>
  <c r="BV87" i="5" s="1"/>
  <c r="D28" i="8"/>
  <c r="BS66" i="5"/>
  <c r="BX85" i="5" s="1"/>
  <c r="BV85" i="5" s="1"/>
  <c r="BQ66" i="5"/>
  <c r="BX83" i="5" s="1"/>
  <c r="BV83" i="5" s="1"/>
  <c r="BH64" i="7"/>
  <c r="BX72" i="7" s="1"/>
  <c r="BV72" i="7" s="1"/>
  <c r="BP64" i="6"/>
  <c r="BX80" i="6" s="1"/>
  <c r="BV80" i="6" s="1"/>
  <c r="BQ64" i="7"/>
  <c r="BX81" i="7" s="1"/>
  <c r="BV81" i="7" s="1"/>
  <c r="G116" i="6" l="1"/>
  <c r="H103" i="6"/>
  <c r="I108" i="6" s="1"/>
  <c r="E114" i="6"/>
  <c r="C36" i="8"/>
  <c r="D23" i="8"/>
  <c r="F11" i="8"/>
  <c r="F19" i="8" s="1"/>
  <c r="D15" i="8"/>
  <c r="D36" i="8" s="1"/>
  <c r="H105" i="7"/>
  <c r="I103" i="7"/>
  <c r="G139" i="5"/>
  <c r="H139" i="5" s="1"/>
  <c r="G138" i="5"/>
  <c r="M68" i="5"/>
  <c r="E97" i="6" l="1" a="1"/>
  <c r="E97" i="6" s="1"/>
  <c r="J97" i="6" s="1"/>
  <c r="J2" i="6" s="1" a="1"/>
  <c r="J2" i="6" s="1"/>
  <c r="J105" i="7"/>
  <c r="H138" i="5"/>
  <c r="I138" i="5" s="1"/>
  <c r="J138" i="5" s="1"/>
  <c r="F23" i="8"/>
  <c r="E23" i="8" a="1"/>
  <c r="E23" i="8" s="1"/>
  <c r="G109" i="7"/>
  <c r="G108" i="7"/>
  <c r="G107" i="7"/>
  <c r="I106" i="7" s="1"/>
  <c r="J106" i="7" s="1"/>
  <c r="D27" i="8"/>
  <c r="D5" i="8" s="1"/>
  <c r="M89" i="5"/>
  <c r="J2" i="5" a="1"/>
  <c r="J2" i="5" s="1"/>
  <c r="F15" i="8"/>
  <c r="E19" i="8" a="1"/>
  <c r="E19" i="8" s="1"/>
  <c r="I142" i="5" l="1"/>
  <c r="I139" i="5" s="1"/>
  <c r="J139" i="5" s="1"/>
  <c r="E109" i="5" s="1"/>
  <c r="J109" i="5" s="1"/>
  <c r="F140" i="5"/>
  <c r="I140" i="5" s="1"/>
  <c r="J140" i="5" s="1"/>
  <c r="E97" i="7" a="1"/>
  <c r="E97" i="7" s="1"/>
  <c r="J97" i="7" l="1"/>
  <c r="D7" i="8" s="1"/>
  <c r="D9" i="8" s="1"/>
  <c r="J2" i="7" a="1"/>
  <c r="J2" i="7" s="1"/>
</calcChain>
</file>

<file path=xl/sharedStrings.xml><?xml version="1.0" encoding="utf-8"?>
<sst xmlns="http://schemas.openxmlformats.org/spreadsheetml/2006/main" count="3091" uniqueCount="1080">
  <si>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</si>
  <si>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</si>
  <si>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</si>
  <si>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</si>
  <si>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</si>
  <si>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</si>
  <si>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</si>
  <si>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</si>
  <si>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</si>
  <si>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</si>
  <si>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</si>
  <si>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</si>
  <si>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</si>
  <si>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</si>
  <si>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</si>
  <si>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</si>
  <si>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</si>
  <si>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</si>
  <si>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</si>
  <si>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</si>
  <si>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</si>
  <si>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</si>
  <si>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</si>
  <si>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</si>
  <si>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</si>
  <si>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</si>
  <si>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</si>
  <si>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</si>
  <si>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</si>
  <si>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</si>
  <si>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</si>
  <si>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</si>
  <si>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</si>
  <si>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</si>
  <si>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</si>
  <si>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</si>
  <si>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</si>
  <si>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</si>
  <si>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</si>
  <si>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</si>
  <si>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</si>
  <si>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</si>
  <si>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</si>
  <si>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</si>
  <si>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</si>
  <si>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</si>
  <si>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</si>
  <si>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</si>
  <si>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</si>
  <si>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</si>
  <si>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</si>
  <si>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</si>
  <si>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</si>
  <si>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</si>
  <si>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</si>
  <si>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</si>
  <si>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</si>
  <si>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</si>
  <si>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</si>
  <si>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</si>
  <si>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</si>
  <si>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</si>
  <si>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</si>
  <si>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</si>
  <si>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</si>
  <si>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</si>
  <si>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</si>
  <si>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</si>
  <si>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</si>
  <si>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</si>
  <si>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</si>
  <si>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</si>
  <si>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</si>
  <si>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</si>
  <si>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</si>
  <si>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</si>
  <si>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</si>
  <si>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</si>
  <si>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</si>
  <si>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</si>
  <si>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</si>
  <si>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</si>
  <si>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</si>
  <si>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</si>
  <si>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</si>
  <si>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</si>
  <si>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</si>
  <si>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</si>
  <si>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</si>
  <si>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</si>
  <si>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</si>
  <si>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</si>
  <si>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</si>
  <si>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</si>
  <si>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</si>
  <si>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</si>
  <si>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</si>
  <si>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</si>
  <si>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</si>
  <si>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</si>
  <si>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</si>
  <si>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</si>
  <si>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</si>
  <si>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</si>
  <si>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</si>
  <si>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</si>
  <si>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</si>
  <si>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</si>
  <si>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</si>
  <si>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</si>
  <si>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</si>
  <si>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</si>
  <si>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</si>
  <si>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</si>
  <si>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</si>
  <si>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</si>
  <si>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</si>
  <si>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</si>
  <si>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</si>
  <si>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</si>
  <si>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</si>
  <si>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</si>
  <si>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</si>
  <si>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</si>
  <si>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</si>
  <si>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</si>
  <si>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</si>
  <si>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</si>
  <si>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</si>
  <si>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</si>
  <si>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</si>
  <si>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</si>
  <si>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</si>
  <si>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</si>
  <si>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</si>
  <si>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</si>
  <si>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</si>
  <si>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</si>
  <si>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</si>
  <si>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</si>
  <si>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</si>
  <si>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</si>
  <si>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</si>
  <si>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</si>
  <si>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</si>
  <si>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</si>
  <si>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</si>
  <si>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</si>
  <si>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</si>
  <si>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</si>
  <si>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</si>
  <si>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</si>
  <si>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</si>
  <si>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</si>
  <si>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</si>
  <si>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</si>
  <si>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</si>
  <si>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</si>
  <si>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</si>
  <si>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</si>
  <si>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</si>
  <si>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</si>
  <si>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</si>
  <si>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</si>
  <si>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</si>
  <si>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</si>
  <si>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</si>
  <si>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</si>
  <si>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</si>
  <si>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</si>
  <si>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</si>
  <si>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</si>
  <si>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</si>
  <si>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</si>
  <si>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</si>
  <si>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</si>
  <si>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</si>
  <si>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</si>
  <si>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</si>
  <si>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</si>
  <si>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</si>
  <si>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</si>
  <si>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</si>
  <si>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</si>
  <si>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</si>
  <si>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</si>
  <si>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</si>
  <si>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</si>
  <si>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</si>
  <si>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</si>
  <si>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</si>
  <si>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</si>
  <si>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</si>
  <si>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</si>
  <si>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</si>
  <si>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</si>
  <si>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</si>
  <si>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</si>
  <si>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</si>
  <si>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</si>
  <si>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</si>
  <si>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</si>
  <si>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</si>
  <si>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</si>
  <si>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</si>
  <si>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</si>
  <si>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</si>
  <si>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</si>
  <si>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</si>
  <si>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</si>
  <si>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</si>
  <si>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</si>
  <si>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</si>
  <si>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</si>
  <si>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</si>
  <si>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</si>
  <si>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</si>
  <si>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</si>
  <si>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</si>
  <si>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</si>
  <si>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</si>
  <si>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</si>
  <si>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</si>
  <si>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</si>
  <si>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</si>
  <si>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</si>
  <si>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</si>
  <si>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</si>
  <si>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</si>
  <si>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</si>
  <si>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</si>
  <si>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</si>
  <si>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</si>
  <si>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</si>
  <si>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</si>
  <si>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</si>
  <si>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</si>
  <si>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</si>
  <si>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</si>
  <si>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</si>
  <si>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</si>
  <si>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BC</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</si>
  <si>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</si>
  <si>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</si>
  <si>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</si>
  <si>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</si>
  <si>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</si>
  <si>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</si>
  <si>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</si>
  <si>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</si>
  <si>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</si>
  <si>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</si>
  <si>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</si>
  <si>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</si>
  <si>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</si>
  <si>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</si>
  <si>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</si>
  <si>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</si>
  <si>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</si>
  <si>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</si>
  <si>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</si>
  <si>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</si>
  <si>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</si>
  <si>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</si>
  <si>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</si>
  <si>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</si>
  <si>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</si>
  <si>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</si>
  <si>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</si>
  <si>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</si>
  <si>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</si>
  <si>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</si>
  <si>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</si>
  <si>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</si>
  <si>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</si>
  <si>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</si>
  <si>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</si>
  <si>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</si>
  <si>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</si>
  <si>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</si>
  <si>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</si>
  <si>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</si>
  <si>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</si>
  <si>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</si>
  <si>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</si>
  <si>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</si>
  <si>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</si>
  <si>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</si>
  <si>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</si>
  <si>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</si>
  <si>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</si>
  <si>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</si>
  <si>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</si>
  <si>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</si>
  <si>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</si>
  <si>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</si>
  <si>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</si>
  <si>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</si>
  <si>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</si>
  <si>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</si>
  <si>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</si>
  <si>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</si>
  <si>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</si>
  <si>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</si>
  <si>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</si>
  <si>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</si>
  <si>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</si>
  <si>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</si>
  <si>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</si>
  <si>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</si>
  <si>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</si>
  <si>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</si>
  <si>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</si>
  <si>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</si>
  <si>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</si>
  <si>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</si>
  <si>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</si>
  <si>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</si>
  <si>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</si>
  <si>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</si>
  <si>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</si>
  <si>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</si>
  <si>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</si>
  <si>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</si>
  <si>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</si>
  <si>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</si>
  <si>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</si>
  <si>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</si>
  <si>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</si>
  <si>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</si>
  <si>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</si>
  <si>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</si>
  <si>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</si>
  <si>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</si>
  <si>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</si>
  <si>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</si>
  <si>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</si>
  <si>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</si>
  <si>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</si>
  <si>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</si>
  <si>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</si>
  <si>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</si>
  <si>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</si>
  <si>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</si>
  <si>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</si>
  <si>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</si>
  <si>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</si>
  <si>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</si>
  <si>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</si>
  <si>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</si>
  <si>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</si>
  <si>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</si>
  <si>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</si>
  <si>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</si>
  <si>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</si>
  <si>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</si>
  <si>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</si>
  <si>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</si>
  <si>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</si>
  <si>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</si>
  <si>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</si>
  <si>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</si>
  <si>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</si>
  <si>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</si>
  <si>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</si>
  <si>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</si>
  <si>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</si>
  <si>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</si>
  <si>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</si>
  <si>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</si>
  <si>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</si>
  <si>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</si>
  <si>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</si>
  <si>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</si>
  <si>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</si>
  <si>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</si>
  <si>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</si>
  <si>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</si>
  <si>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</si>
  <si>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</si>
  <si>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</si>
  <si>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</si>
  <si>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</si>
  <si>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</si>
  <si>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</si>
  <si>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</si>
  <si>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</si>
  <si>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</si>
  <si>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</si>
  <si>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</si>
  <si>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</si>
  <si>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</si>
  <si>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</si>
  <si>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</si>
  <si>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</si>
  <si>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</si>
  <si>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</si>
  <si>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</si>
  <si>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</si>
  <si>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</si>
  <si>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</si>
  <si>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</si>
  <si>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</si>
  <si>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</si>
  <si>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</si>
  <si>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</si>
  <si>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</si>
  <si>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</si>
  <si>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</si>
  <si>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</si>
  <si>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</si>
  <si>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</si>
  <si>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</si>
  <si>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</si>
  <si>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</si>
  <si>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</si>
  <si>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</si>
  <si>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</si>
  <si>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</si>
  <si>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</si>
  <si>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</si>
  <si>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</si>
  <si>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</si>
  <si>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</si>
  <si>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</si>
  <si>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</si>
  <si>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</si>
  <si>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</si>
  <si>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</si>
  <si>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</si>
  <si>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</si>
  <si>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</si>
  <si>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</si>
  <si>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</si>
  <si>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</si>
  <si>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</si>
  <si>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</si>
  <si>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</si>
  <si>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</si>
  <si>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</si>
  <si>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</si>
  <si>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</si>
  <si>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</si>
  <si>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</si>
  <si>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</si>
  <si>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</si>
  <si>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</si>
  <si>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</si>
  <si>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</si>
  <si>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</si>
  <si>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</si>
  <si>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</si>
  <si>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</si>
  <si>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</si>
  <si>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</si>
  <si>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</si>
  <si>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</si>
  <si>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</si>
  <si>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</si>
  <si>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</si>
  <si>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</si>
  <si>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</si>
  <si>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</si>
  <si>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</si>
  <si>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</si>
  <si>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</si>
  <si>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</si>
  <si>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</si>
  <si>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</si>
  <si>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</si>
  <si>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</si>
  <si>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</si>
  <si>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</si>
  <si>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</si>
  <si>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</si>
  <si>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</si>
  <si>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</si>
  <si>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</si>
  <si>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</si>
  <si>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</si>
  <si>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</si>
  <si>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</si>
  <si>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</si>
  <si>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</si>
  <si>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</si>
  <si>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</si>
  <si>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</si>
  <si>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</si>
  <si>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</si>
  <si>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</si>
  <si>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</si>
  <si>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</si>
  <si>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</si>
  <si>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</si>
  <si>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</si>
  <si>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</si>
  <si>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</si>
  <si>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</si>
  <si>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</si>
  <si>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</si>
  <si>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</si>
  <si>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</si>
  <si>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</si>
  <si>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</si>
  <si>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</si>
  <si>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</si>
  <si>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</si>
  <si>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</si>
  <si>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</si>
  <si>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</si>
  <si>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</si>
  <si>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</si>
  <si>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</si>
  <si>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</si>
  <si>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</si>
  <si>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</si>
  <si>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</si>
  <si>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</si>
  <si>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</si>
  <si>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</si>
  <si>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</si>
  <si>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</si>
  <si>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</si>
  <si>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</si>
  <si>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</si>
  <si>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</si>
  <si>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</si>
  <si>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</si>
  <si>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</si>
  <si>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</si>
  <si>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</si>
  <si>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</si>
  <si>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</si>
  <si>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</si>
  <si>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</si>
  <si>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</si>
  <si>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</si>
  <si>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</si>
  <si>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</si>
  <si>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</si>
  <si>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</si>
  <si>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</si>
  <si>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</si>
  <si>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</si>
  <si>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</si>
  <si>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</si>
  <si>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</si>
  <si>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</si>
  <si>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</si>
  <si>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</si>
  <si>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</si>
  <si>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</si>
  <si>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</si>
  <si>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</si>
  <si>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</si>
  <si>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</si>
  <si>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</si>
  <si>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</si>
  <si>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</si>
  <si>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</si>
  <si>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</si>
  <si>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</si>
  <si>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</si>
  <si>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</si>
  <si>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</si>
  <si>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</si>
  <si>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</si>
  <si>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</si>
  <si>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</si>
  <si>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</si>
  <si>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</si>
  <si>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</si>
  <si>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</si>
  <si>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</si>
  <si>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</si>
  <si>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</si>
  <si>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</si>
  <si>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</si>
  <si>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</si>
  <si>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</si>
  <si>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</si>
  <si>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</si>
  <si>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</si>
  <si>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</si>
  <si>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</si>
  <si>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</si>
  <si>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</si>
  <si>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</si>
  <si>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</si>
  <si>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</si>
  <si>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</si>
  <si>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</si>
  <si>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</si>
  <si>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</si>
  <si>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</si>
  <si>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</si>
  <si>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</si>
  <si>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</si>
  <si>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</si>
  <si>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</si>
  <si>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</si>
  <si>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</si>
  <si>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</si>
  <si>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</si>
  <si>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</si>
  <si>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</si>
  <si>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</si>
  <si>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</si>
  <si>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</si>
  <si>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</si>
  <si>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</si>
  <si>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</si>
  <si>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</si>
  <si>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</si>
  <si>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</si>
  <si>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</si>
  <si>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</si>
  <si>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</si>
  <si>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</si>
  <si>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</si>
  <si>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</si>
  <si>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</si>
  <si>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</si>
  <si>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</si>
  <si>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</si>
  <si>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</si>
  <si>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</si>
  <si>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</si>
  <si>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</si>
  <si>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</si>
  <si>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</si>
  <si>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</si>
  <si>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</si>
  <si>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</si>
  <si>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</si>
  <si>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</si>
  <si>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</si>
  <si>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</si>
  <si>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</si>
  <si>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</si>
  <si>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</si>
  <si>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</si>
  <si>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</si>
  <si>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</si>
  <si>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</si>
  <si>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</si>
  <si>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</si>
  <si>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</si>
  <si>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</si>
  <si>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</si>
  <si>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</si>
  <si>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</si>
  <si>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</si>
  <si>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</si>
  <si>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</si>
  <si>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</si>
  <si>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</si>
  <si>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</si>
  <si>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</si>
  <si>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</si>
  <si>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</si>
  <si>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</si>
  <si>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</si>
  <si>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</si>
  <si>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</si>
  <si>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</si>
  <si>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</si>
  <si>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</si>
  <si>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</si>
  <si>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</si>
  <si>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</si>
  <si>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</si>
  <si>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</si>
  <si>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</si>
  <si>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</si>
  <si>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</si>
  <si>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</si>
  <si>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</si>
  <si>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</si>
  <si>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</si>
  <si>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</si>
  <si>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</si>
  <si>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</si>
  <si>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</si>
  <si>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</si>
  <si>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</si>
  <si>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</si>
  <si>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</si>
  <si>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</si>
  <si>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</si>
  <si>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</si>
  <si>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</si>
  <si>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</si>
  <si>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</si>
  <si>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</si>
  <si>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</si>
  <si>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</si>
  <si>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</si>
  <si>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</si>
  <si>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</si>
  <si>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</si>
  <si>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</si>
  <si>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</si>
  <si>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</si>
  <si>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</si>
  <si>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</si>
  <si>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</si>
  <si>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</si>
  <si>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</si>
  <si>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</si>
  <si>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</si>
  <si>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</si>
  <si>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</si>
  <si>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</si>
  <si>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</si>
  <si>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</si>
  <si>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</si>
  <si>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</si>
  <si>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</si>
  <si>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</si>
  <si>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</si>
  <si>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</si>
  <si>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</si>
  <si>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</si>
  <si>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</si>
  <si>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</si>
  <si>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</si>
  <si>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</si>
  <si>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</si>
  <si>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</si>
  <si>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</si>
  <si>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</si>
  <si>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</si>
  <si>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</si>
  <si>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</si>
  <si>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</si>
  <si>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</si>
  <si>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</si>
  <si>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</si>
  <si>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</si>
  <si>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</si>
  <si>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</si>
  <si>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</si>
  <si>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</si>
  <si>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</si>
  <si>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</si>
  <si>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</si>
  <si>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</si>
  <si>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</si>
  <si>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</si>
  <si>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</si>
  <si>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</si>
  <si>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</si>
  <si>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</si>
  <si>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</si>
  <si>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</si>
  <si>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</si>
  <si>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</si>
  <si>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</si>
  <si>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</si>
  <si>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</si>
  <si>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</si>
  <si>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</si>
  <si>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</si>
  <si>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</si>
  <si>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</si>
  <si>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</si>
  <si>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</si>
  <si>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</si>
  <si>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</si>
  <si>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</si>
  <si>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</si>
  <si>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</si>
  <si>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</si>
  <si>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</si>
  <si>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</si>
  <si>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</si>
  <si>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</si>
  <si>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</si>
  <si>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</si>
  <si>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</si>
  <si>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</si>
  <si>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</si>
  <si>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</si>
  <si>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</si>
  <si>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</si>
  <si>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</si>
  <si>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</si>
  <si>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</si>
  <si>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</si>
  <si>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</si>
  <si>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</si>
  <si>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</si>
  <si>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</si>
  <si>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</si>
  <si>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</si>
  <si>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</si>
  <si>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</si>
  <si>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</si>
  <si>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</si>
  <si>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</si>
  <si>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</si>
  <si>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</si>
  <si>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</si>
  <si>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</si>
  <si>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</si>
  <si>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</si>
  <si>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</si>
  <si>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</si>
  <si>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</si>
  <si>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</si>
  <si>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</si>
  <si>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</si>
  <si>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</si>
  <si>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</si>
  <si>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</si>
  <si>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</si>
  <si>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</si>
  <si>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</si>
  <si>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</si>
  <si>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</si>
  <si>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</si>
  <si>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</si>
  <si>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</si>
  <si>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</si>
  <si>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</si>
  <si>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</si>
  <si>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</si>
  <si>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</si>
  <si>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</si>
  <si>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</si>
  <si>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</si>
  <si>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</si>
  <si>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</si>
  <si>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</si>
  <si>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</si>
  <si>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</si>
  <si>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</si>
  <si>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</si>
  <si>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</si>
  <si>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</si>
  <si>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</si>
  <si>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</si>
  <si>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</si>
  <si>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</si>
  <si>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</si>
  <si>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</si>
  <si>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</si>
  <si>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</si>
  <si>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</si>
  <si>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</si>
  <si>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</si>
  <si>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</si>
  <si>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</si>
  <si>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</si>
  <si>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</si>
  <si>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</si>
  <si>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</si>
  <si>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</si>
  <si>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</si>
  <si>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</si>
  <si>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</si>
  <si>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</si>
  <si>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</si>
  <si>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</si>
  <si>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</si>
  <si>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</si>
  <si>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</si>
  <si>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</si>
  <si>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</si>
  <si>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</si>
  <si>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</si>
  <si>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</si>
  <si>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</si>
  <si>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</si>
  <si>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</si>
  <si>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</si>
  <si>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</si>
  <si>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</si>
  <si>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</si>
  <si>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</si>
  <si>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</si>
  <si>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</si>
  <si>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</si>
  <si>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</si>
  <si>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</si>
  <si>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</si>
  <si>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</si>
  <si>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</si>
  <si>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</si>
  <si>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</si>
  <si>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</si>
  <si>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</si>
  <si>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</si>
  <si>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</si>
  <si>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</si>
  <si>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</si>
  <si>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</si>
  <si>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</si>
  <si>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</si>
  <si>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</si>
  <si>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</si>
  <si>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</si>
  <si>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</si>
  <si>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</si>
  <si>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</si>
  <si>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</si>
  <si>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</si>
  <si>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</si>
  <si>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</si>
  <si>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</si>
  <si>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</si>
  <si>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</si>
  <si>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</si>
  <si>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</si>
  <si>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</si>
  <si>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</si>
  <si>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</si>
  <si>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</si>
  <si>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</si>
  <si>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</si>
  <si>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</si>
  <si>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</si>
  <si>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</si>
  <si>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</si>
  <si>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</si>
  <si>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</si>
  <si>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</si>
  <si>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</si>
  <si>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</si>
  <si>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</si>
  <si>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</si>
  <si>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</si>
  <si>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</si>
  <si>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</si>
  <si>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</si>
  <si>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</si>
  <si>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</si>
  <si>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</si>
  <si>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</si>
  <si>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</si>
  <si>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</si>
  <si>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</si>
  <si>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</si>
  <si>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</si>
  <si>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</si>
  <si>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</si>
  <si>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</si>
  <si>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</si>
  <si>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</si>
  <si>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</si>
  <si>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</si>
  <si>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</si>
  <si>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</si>
  <si>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</si>
  <si>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</si>
  <si>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</si>
  <si>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</si>
  <si>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</si>
  <si>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</si>
  <si>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</si>
  <si>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</si>
  <si>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</si>
  <si>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</si>
  <si>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</si>
  <si>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</si>
  <si>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</si>
  <si>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</si>
  <si>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</si>
  <si>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</si>
  <si>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</si>
  <si>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</si>
  <si>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</si>
  <si>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</si>
  <si>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</si>
  <si>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</si>
  <si>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</si>
  <si>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</si>
  <si>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</si>
  <si>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</si>
  <si>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</si>
  <si>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</si>
  <si>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</si>
  <si>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</si>
  <si>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</si>
  <si>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</si>
  <si>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</si>
  <si>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</si>
  <si>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</si>
  <si>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</si>
  <si>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</si>
  <si>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</si>
  <si>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</si>
  <si>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</si>
  <si>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</si>
  <si>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</si>
  <si>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</si>
  <si>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</si>
  <si>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</si>
  <si>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</si>
  <si>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</si>
  <si>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</si>
  <si>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</si>
  <si>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</si>
  <si>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</si>
  <si>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</si>
  <si>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</si>
  <si>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</si>
  <si>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</si>
  <si>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</si>
  <si>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</si>
  <si>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</si>
  <si>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</si>
  <si>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</si>
  <si>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</si>
  <si>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</si>
  <si>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</si>
  <si>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</si>
  <si>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</si>
  <si>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</si>
  <si>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</si>
  <si>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</si>
  <si>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</si>
  <si>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</si>
  <si>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</si>
  <si>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</si>
  <si>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</si>
  <si>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</si>
  <si>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</si>
  <si>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</si>
  <si>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</si>
  <si>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</si>
  <si>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</si>
  <si>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</si>
  <si>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</si>
  <si>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</si>
  <si>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</si>
  <si>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</si>
  <si>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</si>
  <si>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</si>
  <si>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</si>
  <si>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</si>
  <si>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</si>
  <si>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</si>
  <si>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</si>
  <si>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</si>
  <si>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</si>
  <si>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</si>
  <si>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</si>
  <si>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</si>
  <si>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H08-0036-26 Polytunnel Site</t>
  </si>
  <si>
    <t>Matthew Verdegaal</t>
  </si>
  <si>
    <t>Full planning application</t>
  </si>
  <si>
    <t>H08-0036-26</t>
  </si>
  <si>
    <t>Matthew Verdegaal - Applicant</t>
  </si>
  <si>
    <t>Proposed polytunnel with sealed base and boundary wildflower / hedge planting plan</t>
  </si>
  <si>
    <t>Proposed polytunnel and boundary planting plan</t>
  </si>
  <si>
    <t>Other</t>
  </si>
  <si>
    <t>No</t>
  </si>
  <si>
    <t>No designated sites or priority habitats identified from user-provided information.</t>
  </si>
  <si>
    <t>User-provided site description / planning submission information</t>
  </si>
  <si>
    <t>Yes</t>
  </si>
  <si>
    <t>Matthew Verdegaal - Applicant walkover</t>
  </si>
  <si>
    <t>Baseline assumed to include only the polytunnel footprint and enhancement area (6366.13m²) of modified grassland. Proposed development includes one polytunnel approx. 9.1m x 132ft with a sealed base and new non-native boundary hedging (150m laurel and 70m leylandii).</t>
  </si>
  <si>
    <t>Development is a small horticultural polytunnel scheme on a grass site. Baseline area is limited to the footprint and enhancement area only. Proposed habitat enhancement comprises 6000m² of wildflower grassland in moderate condition, with 150m laurel and 70m leylandii planting.</t>
  </si>
  <si>
    <t>09/04/26</t>
  </si>
  <si>
    <t>No photo supplied</t>
  </si>
  <si>
    <t>Additional photo entries</t>
  </si>
  <si>
    <t>No further photographs provided</t>
  </si>
  <si>
    <t>Supporting note</t>
  </si>
  <si>
    <t>Applicant has not supplied habitat photographs. Metric completed from user site description: existing grass site, no existing hedges/trees, no watercourses, one proposed polytunnel, and new non-native boundary hedging.</t>
  </si>
  <si>
    <t>Baseline area limited to polytunnel footprint and enhancement area (6366.13m²). Polytunnel footprint 366.13m² treated as developed land/sealed surface. Wildflower enhancement area 6000m².</t>
  </si>
  <si>
    <t>Single polytunnel footprint 9.1m x 132ft (approx. 366.13m²).</t>
  </si>
  <si>
    <t>Species-rich wildflower enhancement area totalling 6000m² across the wider site, managed in moderate condition.</t>
  </si>
  <si>
    <t>Laurel planting.</t>
  </si>
  <si>
    <t>Leylandii planting.</t>
  </si>
  <si>
    <t>Total new non-native hedgerow length = 220m.</t>
  </si>
  <si>
    <t>No watercourses on or adjacent to the application area.</t>
  </si>
  <si>
    <t>Additional note</t>
  </si>
  <si>
    <t>No watercourses proposed or affected.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</si>
</sst>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9">
    <font>
      <sz val="11"/>
      <color theme="1"/>
      <name val="Calibri"/>
    </font>
    <font>
      <sz val="11"/>
      <color theme="1"/>
      <name val="Calibri"/>
      <family val="2"/>
      <scheme val="minor"/>
    </font>
    <font>
      <sz val="11"/>
      <color rgb="FFFF0000"/>
      <name val="Calibri"/>
    </font>
    <font>
      <b/>
      <sz val="11"/>
      <color theme="1"/>
      <name val="Calibri"/>
    </font>
    <font>
      <b/>
      <sz val="11"/>
      <name val="Calibri"/>
    </font>
    <font>
      <sz val="11"/>
      <name val="Calibri"/>
    </font>
    <font>
      <b/>
      <sz val="14"/>
      <color theme="1"/>
      <name val="Calibri"/>
    </font>
    <font>
      <b/>
      <sz val="16"/>
      <color theme="1"/>
      <name val="Calibri"/>
    </font>
    <font>
      <sz val="10"/>
      <name val="Arial"/>
    </font>
    <font>
      <b/>
      <sz val="24"/>
      <color theme="1"/>
      <name val="Calibri"/>
    </font>
    <font>
      <i/>
      <sz val="14"/>
      <color rgb="FFFFFFFF"/>
      <name val="Calibri"/>
    </font>
    <font>
      <b/>
      <sz val="22"/>
      <color theme="1"/>
      <name val="Calibri"/>
    </font>
    <font>
      <b/>
      <sz val="12"/>
      <name val="Calibri"/>
    </font>
    <font>
      <b/>
      <sz val="12"/>
      <color theme="0"/>
      <name val="Calibri"/>
    </font>
    <font>
      <sz val="11"/>
      <color theme="1"/>
      <name val="Calibri"/>
    </font>
    <font>
      <b/>
      <sz val="11"/>
      <color theme="0"/>
      <name val="Calibri"/>
    </font>
    <font>
      <sz val="11"/>
      <name val="Calibri"/>
    </font>
    <font>
      <b/>
      <sz val="14"/>
      <color rgb="FFFFFFFF"/>
      <name val="Calibri"/>
    </font>
    <font>
      <sz val="12"/>
      <color theme="1"/>
      <name val="Calibri"/>
    </font>
    <font>
      <sz val="14"/>
      <color theme="1"/>
      <name val="Calibri"/>
    </font>
    <font>
      <sz val="12"/>
      <color theme="1"/>
      <name val="Arial"/>
    </font>
    <font>
      <b/>
      <sz val="14"/>
      <color theme="0"/>
      <name val="Calibri"/>
    </font>
    <font>
      <b/>
      <i/>
      <sz val="14"/>
      <color rgb="FFFFFFFF"/>
      <name val="Calibri"/>
    </font>
    <font>
      <b/>
      <sz val="14"/>
      <name val="Calibri"/>
    </font>
    <font>
      <sz val="12"/>
      <name val="Calibri"/>
    </font>
    <font>
      <b/>
      <sz val="28"/>
      <color theme="1"/>
      <name val="Calibri"/>
    </font>
    <font>
      <sz val="12"/>
      <color theme="0"/>
      <name val="Calibri"/>
    </font>
    <font>
      <b/>
      <sz val="20"/>
      <color theme="1"/>
      <name val="Calibri"/>
    </font>
    <font>
      <sz val="11"/>
      <color rgb="FF9C5700"/>
      <name val="Calibri"/>
    </font>
    <font>
      <sz val="11"/>
      <color theme="0"/>
      <name val="Calibri"/>
    </font>
    <font>
      <sz val="14"/>
      <color rgb="FF9C5700"/>
      <name val="Calibri"/>
    </font>
    <font>
      <b/>
      <sz val="11"/>
      <color theme="0"/>
      <name val="Calibri"/>
    </font>
    <font>
      <b/>
      <sz val="22"/>
      <color theme="0"/>
      <name val="Calibri"/>
    </font>
    <font>
      <sz val="12"/>
      <color rgb="FFFF0000"/>
      <name val="Calibri"/>
    </font>
    <font>
      <b/>
      <sz val="12"/>
      <color theme="1"/>
      <name val="Calibri"/>
    </font>
    <font>
      <b/>
      <sz val="16"/>
      <color theme="1"/>
      <name val="Calibri"/>
    </font>
    <font>
      <sz val="11"/>
      <color theme="1"/>
      <name val="Calibri"/>
    </font>
    <font>
      <sz val="11"/>
      <color theme="4" tint="0.39997558519241921"/>
      <name val="Calibri"/>
    </font>
    <font>
      <sz val="10"/>
      <color theme="1"/>
      <name val="Arial"/>
    </font>
    <font>
      <sz val="11"/>
      <color rgb="FFF2F0D9"/>
      <name val="Calibri"/>
    </font>
    <font>
      <b/>
      <sz val="14"/>
      <color theme="1"/>
      <name val="Calibri"/>
    </font>
    <font>
      <b/>
      <sz val="11"/>
      <color rgb="FFF2F0D9"/>
      <name val="Calibri"/>
    </font>
    <font>
      <b/>
      <sz val="10"/>
      <color theme="0"/>
      <name val="Arial"/>
    </font>
    <font>
      <b/>
      <sz val="11"/>
      <color rgb="FFFF0000"/>
      <name val="Calibri"/>
    </font>
    <font>
      <sz val="11"/>
      <color theme="1"/>
      <name val="Abadi Extra Light"/>
    </font>
    <font>
      <sz val="11"/>
      <color rgb="FFFFCCFF"/>
      <name val="Calibri"/>
    </font>
    <font>
      <sz val="11"/>
      <color rgb="FFF2EAD9"/>
      <name val="Calibri"/>
    </font>
    <font>
      <sz val="12"/>
      <color rgb="FFF2F0D9"/>
      <name val="Calibri"/>
    </font>
    <font>
      <sz val="12"/>
      <name val="Segoe UI Symbol"/>
    </font>
    <font>
      <b/>
      <sz val="14"/>
      <color theme="9" tint="0.39997558519241921"/>
      <name val="Calibri"/>
    </font>
    <font>
      <b/>
      <sz val="14"/>
      <color theme="0" tint="-0.249977111117893"/>
      <name val="Calibri"/>
    </font>
    <font>
      <b/>
      <sz val="10"/>
      <color theme="0"/>
      <name val="Calibri"/>
    </font>
    <font>
      <b/>
      <sz val="16"/>
      <name val="Calibri"/>
    </font>
    <font>
      <b/>
      <sz val="11"/>
      <color theme="1"/>
      <name val="Calibri"/>
      <family val="2"/>
      <scheme val="minor"/>
    </font>
    <font>
      <b/>
      <sz val="14"/>
      <color theme="0"/>
      <name val="Calibri"/>
      <family val="2"/>
      <scheme val="minor"/>
    </font>
    <font>
      <b/>
      <u/>
      <sz val="14"/>
      <color theme="1"/>
      <name val="Calibri"/>
      <family val="2"/>
      <scheme val="minor"/>
    </font>
    <font>
      <b/>
      <sz val="12"/>
      <color theme="0"/>
      <name val="Calibri"/>
      <family val="2"/>
      <scheme val="minor"/>
    </font>
    <font>
      <u/>
      <sz val="11"/>
      <name val="Calibri"/>
      <family val="2"/>
    </font>
    <font>
      <sz val="11"/>
      <name val="Calibri"/>
      <family val="2"/>
    </font>
  </fonts>
  <fills count="36">
    <fill>
      <patternFill patternType="none"/>
    </fill>
    <fill>
      <patternFill patternType="gray125"/>
    </fill>
    <fill>
      <patternFill patternType="solid">
        <fgColor theme="4" tint="0.59996337778862885"/>
        <bgColor indexed="65"/>
      </patternFill>
    </fill>
    <fill>
      <patternFill patternType="solid">
        <fgColor theme="0" tint="-0.14999847407452621"/>
        <bgColor indexed="65"/>
      </patternFill>
    </fill>
    <fill>
      <patternFill patternType="solid">
        <fgColor theme="0"/>
      </patternFill>
    </fill>
    <fill>
      <patternFill patternType="solid">
        <fgColor theme="4" tint="-0.249977111117893"/>
        <bgColor indexed="65"/>
      </patternFill>
    </fill>
    <fill>
      <patternFill patternType="solid">
        <fgColor rgb="FFFFFF00"/>
      </patternFill>
    </fill>
    <fill>
      <patternFill patternType="solid">
        <fgColor theme="4" tint="0.79995117038483843"/>
        <bgColor indexed="65"/>
      </patternFill>
    </fill>
    <fill>
      <patternFill patternType="solid">
        <fgColor theme="4"/>
      </patternFill>
    </fill>
    <fill>
      <patternFill patternType="solid">
        <fgColor theme="5"/>
      </patternFill>
    </fill>
    <fill>
      <patternFill patternType="solid">
        <fgColor theme="5" tint="0.39997558519241921"/>
        <bgColor indexed="65"/>
      </patternFill>
    </fill>
    <fill>
      <patternFill patternType="solid">
        <fgColor theme="5" tint="0.59996337778862885"/>
        <bgColor indexed="65"/>
      </patternFill>
    </fill>
    <fill>
      <patternFill patternType="solid">
        <fgColor rgb="FFF2F0D9"/>
      </patternFill>
    </fill>
    <fill>
      <patternFill patternType="solid">
        <fgColor theme="8" tint="-0.249977111117893"/>
        <bgColor indexed="65"/>
      </patternFill>
    </fill>
    <fill>
      <patternFill patternType="solid">
        <fgColor theme="0" tint="-4.9989318521683403E-2"/>
        <bgColor indexed="65"/>
      </patternFill>
    </fill>
    <fill>
      <patternFill patternType="solid">
        <fgColor rgb="FFFFEB9C"/>
      </patternFill>
    </fill>
    <fill>
      <patternFill patternType="solid">
        <fgColor theme="7" tint="0.59996337778862885"/>
        <bgColor indexed="65"/>
      </patternFill>
    </fill>
    <fill>
      <patternFill patternType="solid">
        <fgColor rgb="FFFF5050"/>
      </patternFill>
    </fill>
    <fill>
      <patternFill patternType="solid">
        <fgColor theme="9" tint="0.59996337778862885"/>
        <bgColor indexed="65"/>
      </patternFill>
    </fill>
    <fill>
      <patternFill patternType="solid">
        <fgColor theme="9" tint="0.79995117038483843"/>
        <bgColor indexed="65"/>
      </patternFill>
    </fill>
    <fill>
      <patternFill patternType="solid">
        <fgColor theme="2" tint="-0.249977111117893"/>
        <bgColor indexed="65"/>
      </patternFill>
    </fill>
    <fill>
      <patternFill patternType="solid">
        <fgColor theme="8" tint="0.79995117038483843"/>
        <bgColor indexed="65"/>
      </patternFill>
    </fill>
    <fill>
      <patternFill patternType="solid">
        <fgColor theme="7" tint="0.39997558519241921"/>
        <bgColor indexed="65"/>
      </patternFill>
    </fill>
    <fill>
      <patternFill patternType="solid">
        <fgColor rgb="FF005E5C"/>
      </patternFill>
    </fill>
    <fill>
      <patternFill patternType="solid">
        <fgColor rgb="FFFFDDFF"/>
      </patternFill>
    </fill>
    <fill>
      <patternFill patternType="solid">
        <fgColor rgb="FFFFFF99"/>
      </patternFill>
    </fill>
    <fill>
      <patternFill patternType="solid">
        <fgColor rgb="FFE2C4A6"/>
      </patternFill>
    </fill>
    <fill>
      <patternFill patternType="solid">
        <fgColor rgb="FFC00000"/>
      </patternFill>
    </fill>
    <fill>
      <patternFill patternType="solid">
        <fgColor rgb="FF305496"/>
      </patternFill>
    </fill>
    <fill>
      <patternFill patternType="solid">
        <fgColor rgb="FFFFC000"/>
      </patternFill>
    </fill>
    <fill>
      <patternFill patternType="solid">
        <fgColor rgb="FFF2F2F2"/>
      </patternFill>
    </fill>
    <fill>
      <patternFill patternType="solid">
        <fgColor rgb="FF7B7B7B"/>
      </patternFill>
    </fill>
    <fill>
      <patternFill patternType="solid">
        <fgColor rgb="FFBDD7EE"/>
      </patternFill>
    </fill>
    <fill>
      <patternFill patternType="solid">
        <fgColor theme="3" tint="0.79995117038483843"/>
        <bgColor indexed="65"/>
      </patternFill>
    </fill>
    <fill>
      <patternFill patternType="solid">
        <fgColor theme="9" tint="0.39997558519241921"/>
        <bgColor indexed="65"/>
      </patternFill>
    </fill>
    <fill>
      <patternFill patternType="solid">
        <fgColor theme="0" tint="-0.249977111117893"/>
        <bgColor indexed="65"/>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14" fillId="0" borderId="0"/>
    <xf numFmtId="0" fontId="8" fillId="0" borderId="0"/>
    <xf numFmtId="0" fontId="8" fillId="0" borderId="0"/>
    <xf numFmtId="0" fontId="2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8" fillId="15"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14" fillId="0" borderId="0" applyFont="0" applyFill="0" applyBorder="0" applyAlignment="0" applyProtection="0"/>
  </cellStyleXfs>
  <cellXfs count="1065">
    <xf numFmtId="0" fontId="0" fillId="0" borderId="0" xfId="0"/>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4" borderId="29" xfId="0" applyFill="1" applyBorder="1" applyAlignment="1">
      <alignment horizontal="left" vertical="top" wrapText="1"/>
    </xf>
    <xf numFmtId="0" fontId="0" fillId="4" borderId="14" xfId="0" applyFill="1" applyBorder="1" applyAlignment="1">
      <alignment horizontal="left" vertical="top" wrapText="1"/>
    </xf>
    <xf numFmtId="0" fontId="0" fillId="4" borderId="19" xfId="0" applyFill="1" applyBorder="1" applyAlignment="1">
      <alignment horizontal="left" vertical="top" wrapText="1"/>
    </xf>
    <xf numFmtId="0" fontId="0" fillId="0" borderId="16" xfId="0" applyBorder="1" applyAlignment="1">
      <alignment horizontal="center" vertical="center" wrapText="1"/>
    </xf>
    <xf numFmtId="0" fontId="0" fillId="0" borderId="18" xfId="0" applyBorder="1" applyAlignment="1">
      <alignment horizontal="center" vertical="center"/>
    </xf>
    <xf numFmtId="0" fontId="0" fillId="4" borderId="16" xfId="0" applyFill="1" applyBorder="1" applyAlignment="1">
      <alignment horizontal="left" vertical="top" wrapText="1"/>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16"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lignment horizontal="center" vertical="center" wrapText="1"/>
    </xf>
    <xf numFmtId="0" fontId="5" fillId="0" borderId="18" xfId="0" applyFont="1" applyBorder="1" applyAlignment="1">
      <alignment horizontal="center" vertical="center"/>
    </xf>
    <xf numFmtId="164" fontId="5" fillId="0" borderId="18" xfId="0" applyNumberFormat="1" applyFont="1" applyBorder="1" applyAlignment="1">
      <alignment horizontal="center" vertical="center"/>
    </xf>
    <xf numFmtId="0" fontId="0" fillId="12" borderId="0" xfId="0" applyFill="1"/>
    <xf numFmtId="0" fontId="2"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3" fillId="4" borderId="48" xfId="1" applyFont="1" applyFill="1" applyBorder="1" applyAlignment="1">
      <alignment horizontal="center" vertical="center"/>
    </xf>
    <xf numFmtId="0" fontId="23" fillId="4" borderId="49" xfId="1" applyFont="1" applyFill="1" applyBorder="1" applyAlignment="1">
      <alignment horizontal="center" vertical="center"/>
    </xf>
    <xf numFmtId="2" fontId="23" fillId="4" borderId="26" xfId="1" applyNumberFormat="1" applyFont="1" applyFill="1" applyBorder="1" applyAlignment="1">
      <alignment horizontal="center" vertical="center"/>
    </xf>
    <xf numFmtId="2" fontId="23" fillId="4" borderId="29" xfId="1" applyNumberFormat="1" applyFont="1" applyFill="1" applyBorder="1" applyAlignment="1">
      <alignment horizontal="center" vertical="center"/>
    </xf>
    <xf numFmtId="2" fontId="23" fillId="4" borderId="14" xfId="1" applyNumberFormat="1" applyFont="1" applyFill="1" applyBorder="1" applyAlignment="1">
      <alignment horizontal="center" vertical="center"/>
    </xf>
    <xf numFmtId="0" fontId="21" fillId="5" borderId="11" xfId="0" applyFont="1" applyFill="1" applyBorder="1" applyAlignment="1">
      <alignment horizontal="center" vertical="center" wrapText="1"/>
    </xf>
    <xf numFmtId="0" fontId="21" fillId="5" borderId="25"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6" fillId="12" borderId="0" xfId="0" applyFont="1" applyFill="1" applyAlignment="1">
      <alignment vertical="center"/>
    </xf>
    <xf numFmtId="0" fontId="28" fillId="12" borderId="0" xfId="21" applyFill="1"/>
    <xf numFmtId="0" fontId="21" fillId="5" borderId="28" xfId="0" applyFont="1" applyFill="1" applyBorder="1" applyAlignment="1">
      <alignment horizontal="center" vertical="center" wrapText="1"/>
    </xf>
    <xf numFmtId="0" fontId="30" fillId="12" borderId="0" xfId="21" applyFont="1" applyFill="1" applyAlignment="1">
      <alignment horizontal="center" vertical="center"/>
    </xf>
    <xf numFmtId="0" fontId="30" fillId="12" borderId="0" xfId="21" applyFont="1" applyFill="1" applyBorder="1" applyAlignment="1">
      <alignment horizontal="center" vertical="center" wrapText="1"/>
    </xf>
    <xf numFmtId="0" fontId="30" fillId="7" borderId="26" xfId="21" applyFont="1" applyFill="1" applyBorder="1" applyAlignment="1">
      <alignment horizontal="center" vertical="center" wrapText="1"/>
    </xf>
    <xf numFmtId="0" fontId="6"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5" fillId="5" borderId="18" xfId="0" applyFont="1" applyFill="1" applyBorder="1" applyAlignment="1">
      <alignment horizontal="center" vertical="center" wrapText="1"/>
    </xf>
    <xf numFmtId="0" fontId="15" fillId="5" borderId="18" xfId="0" applyFont="1" applyFill="1" applyBorder="1" applyAlignment="1">
      <alignment horizontal="center" vertical="center"/>
    </xf>
    <xf numFmtId="2" fontId="12" fillId="7" borderId="39" xfId="0" applyNumberFormat="1" applyFont="1" applyFill="1" applyBorder="1" applyAlignment="1">
      <alignment vertical="center" wrapText="1"/>
    </xf>
    <xf numFmtId="0" fontId="25" fillId="12" borderId="0" xfId="0" applyFont="1" applyFill="1" applyAlignment="1">
      <alignment vertical="center" wrapText="1"/>
    </xf>
    <xf numFmtId="0" fontId="25" fillId="12" borderId="0" xfId="0" applyFont="1" applyFill="1" applyAlignment="1">
      <alignment vertical="center"/>
    </xf>
    <xf numFmtId="0" fontId="7" fillId="12" borderId="0" xfId="0" applyFont="1" applyFill="1" applyAlignment="1">
      <alignment vertical="center"/>
    </xf>
    <xf numFmtId="0" fontId="0" fillId="0" borderId="0" xfId="0" applyAlignment="1">
      <alignment vertical="center"/>
    </xf>
    <xf numFmtId="0" fontId="35" fillId="12" borderId="0" xfId="0" applyFont="1" applyFill="1" applyAlignment="1">
      <alignment vertical="center"/>
    </xf>
    <xf numFmtId="0" fontId="35" fillId="12" borderId="0" xfId="0" applyFont="1" applyFill="1"/>
    <xf numFmtId="0" fontId="0" fillId="16" borderId="0" xfId="0" applyFill="1"/>
    <xf numFmtId="0" fontId="36" fillId="12" borderId="0" xfId="0" applyFont="1" applyFill="1"/>
    <xf numFmtId="0" fontId="37" fillId="12" borderId="0" xfId="0" applyFont="1" applyFill="1"/>
    <xf numFmtId="0" fontId="0" fillId="0" borderId="28" xfId="0" applyBorder="1" applyAlignment="1">
      <alignment horizontal="center" vertical="center" wrapText="1"/>
    </xf>
    <xf numFmtId="0" fontId="3" fillId="9" borderId="18"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0" fillId="0" borderId="41" xfId="0" applyBorder="1"/>
    <xf numFmtId="0" fontId="15" fillId="5" borderId="17" xfId="0" applyFont="1" applyFill="1" applyBorder="1" applyAlignment="1">
      <alignment horizontal="center" vertical="center"/>
    </xf>
    <xf numFmtId="0" fontId="0" fillId="0" borderId="64" xfId="0" applyBorder="1"/>
    <xf numFmtId="0" fontId="0" fillId="4" borderId="23" xfId="0" applyFill="1" applyBorder="1" applyAlignment="1">
      <alignment horizontal="left" vertical="top" wrapText="1"/>
    </xf>
    <xf numFmtId="0" fontId="0" fillId="4" borderId="38" xfId="0" applyFill="1" applyBorder="1" applyAlignment="1">
      <alignment horizontal="left" vertical="top" wrapText="1"/>
    </xf>
    <xf numFmtId="0" fontId="0" fillId="4" borderId="60" xfId="0" applyFill="1" applyBorder="1" applyAlignment="1">
      <alignment horizontal="left" vertical="top" wrapText="1"/>
    </xf>
    <xf numFmtId="0" fontId="0" fillId="4" borderId="12" xfId="0" applyFill="1" applyBorder="1" applyAlignment="1">
      <alignment horizontal="left" vertical="top" wrapText="1"/>
    </xf>
    <xf numFmtId="0" fontId="0" fillId="0" borderId="41" xfId="0" applyBorder="1" applyAlignment="1">
      <alignment horizontal="center" vertical="center" wrapText="1"/>
    </xf>
    <xf numFmtId="0" fontId="0" fillId="0" borderId="17" xfId="0" applyBorder="1" applyAlignment="1">
      <alignment horizontal="center" vertical="center" wrapText="1"/>
    </xf>
    <xf numFmtId="0" fontId="5" fillId="0" borderId="19" xfId="0" applyFont="1" applyBorder="1" applyAlignment="1">
      <alignment horizontal="center" vertical="center" wrapText="1"/>
    </xf>
    <xf numFmtId="0" fontId="0" fillId="0" borderId="38" xfId="0" applyBorder="1" applyAlignment="1">
      <alignment horizontal="center" vertical="center" wrapText="1"/>
    </xf>
    <xf numFmtId="0" fontId="0" fillId="0" borderId="12" xfId="0" applyBorder="1" applyAlignment="1">
      <alignment horizontal="center" vertical="center" wrapText="1"/>
    </xf>
    <xf numFmtId="0" fontId="0" fillId="4" borderId="20" xfId="0" applyFill="1" applyBorder="1" applyAlignment="1">
      <alignment horizontal="center" vertical="center" wrapText="1"/>
    </xf>
    <xf numFmtId="0" fontId="0" fillId="4" borderId="28" xfId="0" applyFill="1" applyBorder="1" applyAlignment="1">
      <alignment horizontal="center" vertical="center" wrapText="1"/>
    </xf>
    <xf numFmtId="0" fontId="0" fillId="4" borderId="15" xfId="0" applyFill="1" applyBorder="1" applyAlignment="1">
      <alignment horizontal="center" vertical="center" wrapText="1"/>
    </xf>
    <xf numFmtId="0" fontId="0" fillId="0" borderId="64" xfId="0" applyBorder="1" applyAlignment="1">
      <alignment horizontal="center" vertical="center" wrapText="1"/>
    </xf>
    <xf numFmtId="0" fontId="21" fillId="5" borderId="5" xfId="0" applyFont="1" applyFill="1" applyBorder="1" applyAlignment="1">
      <alignment horizontal="center"/>
    </xf>
    <xf numFmtId="0" fontId="33" fillId="12" borderId="0" xfId="0" applyFont="1" applyFill="1" applyAlignment="1">
      <alignment vertical="center" wrapText="1"/>
    </xf>
    <xf numFmtId="0" fontId="21" fillId="5" borderId="47" xfId="0" applyFont="1" applyFill="1" applyBorder="1" applyAlignment="1">
      <alignment horizontal="center"/>
    </xf>
    <xf numFmtId="0" fontId="13" fillId="5" borderId="28" xfId="0" applyFont="1" applyFill="1" applyBorder="1" applyAlignment="1">
      <alignment horizontal="center" vertical="center" wrapText="1"/>
    </xf>
    <xf numFmtId="0" fontId="33" fillId="12" borderId="0" xfId="0" applyFont="1" applyFill="1" applyAlignment="1">
      <alignment horizontal="center" vertical="center" wrapText="1"/>
    </xf>
    <xf numFmtId="0" fontId="0" fillId="12" borderId="0" xfId="0" applyFill="1" applyAlignment="1">
      <alignment horizontal="center" wrapText="1"/>
    </xf>
    <xf numFmtId="0" fontId="13" fillId="5" borderId="11" xfId="0" applyFont="1" applyFill="1" applyBorder="1" applyAlignment="1">
      <alignment horizontal="center" vertical="center" wrapText="1"/>
    </xf>
    <xf numFmtId="0" fontId="27" fillId="12" borderId="0" xfId="0" applyFont="1" applyFill="1" applyAlignment="1">
      <alignment horizontal="center" vertical="center" wrapText="1"/>
    </xf>
    <xf numFmtId="0" fontId="3" fillId="12" borderId="0" xfId="0" applyFont="1" applyFill="1"/>
    <xf numFmtId="0" fontId="2" fillId="12" borderId="0" xfId="0" applyFont="1" applyFill="1" applyAlignment="1">
      <alignment wrapText="1"/>
    </xf>
    <xf numFmtId="0" fontId="13" fillId="5" borderId="14"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2" fillId="12" borderId="0" xfId="0" applyFont="1" applyFill="1" applyAlignment="1">
      <alignment horizontal="center" wrapText="1"/>
    </xf>
    <xf numFmtId="0" fontId="11" fillId="3" borderId="0" xfId="0" applyFont="1" applyFill="1" applyAlignment="1">
      <alignment horizontal="center" vertical="center"/>
    </xf>
    <xf numFmtId="0" fontId="5"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5" fillId="7" borderId="9" xfId="0" applyFont="1" applyFill="1" applyBorder="1" applyAlignment="1">
      <alignment horizontal="center" vertical="center"/>
    </xf>
    <xf numFmtId="0" fontId="5"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1" fillId="5" borderId="26" xfId="0" applyFont="1" applyFill="1" applyBorder="1" applyAlignment="1">
      <alignment horizontal="center" vertical="center" wrapText="1"/>
    </xf>
    <xf numFmtId="0" fontId="24" fillId="7" borderId="18" xfId="0" applyFont="1" applyFill="1" applyBorder="1" applyAlignment="1">
      <alignment horizontal="center" vertical="center" wrapText="1"/>
    </xf>
    <xf numFmtId="165" fontId="24" fillId="7" borderId="18" xfId="0" applyNumberFormat="1" applyFont="1" applyFill="1" applyBorder="1" applyAlignment="1">
      <alignment horizontal="center" vertical="center" wrapText="1"/>
    </xf>
    <xf numFmtId="165" fontId="24" fillId="7" borderId="29" xfId="0" applyNumberFormat="1" applyFont="1" applyFill="1" applyBorder="1" applyAlignment="1">
      <alignment horizontal="center" vertical="center" wrapText="1"/>
    </xf>
    <xf numFmtId="0" fontId="24" fillId="7" borderId="18" xfId="0" applyFont="1" applyFill="1" applyBorder="1" applyAlignment="1">
      <alignment horizontal="center" vertical="center"/>
    </xf>
    <xf numFmtId="165" fontId="24" fillId="7" borderId="29" xfId="0" applyNumberFormat="1" applyFont="1" applyFill="1" applyBorder="1" applyAlignment="1">
      <alignment horizontal="center" wrapText="1"/>
    </xf>
    <xf numFmtId="0" fontId="21" fillId="5" borderId="51" xfId="0" applyFont="1" applyFill="1" applyBorder="1" applyAlignment="1">
      <alignment horizontal="center" vertical="center" wrapText="1"/>
    </xf>
    <xf numFmtId="0" fontId="21" fillId="5" borderId="52" xfId="0" applyFont="1" applyFill="1" applyBorder="1" applyAlignment="1">
      <alignment horizontal="center" vertical="center" wrapText="1"/>
    </xf>
    <xf numFmtId="0" fontId="19" fillId="12" borderId="0" xfId="0" applyFont="1" applyFill="1" applyAlignment="1">
      <alignment vertical="center" wrapText="1"/>
    </xf>
    <xf numFmtId="0" fontId="6" fillId="11" borderId="18" xfId="0" applyFont="1" applyFill="1" applyBorder="1" applyAlignment="1">
      <alignment horizontal="center"/>
    </xf>
    <xf numFmtId="0" fontId="4" fillId="8" borderId="18" xfId="0" applyFont="1" applyFill="1" applyBorder="1" applyAlignment="1">
      <alignment horizontal="center" vertical="center" wrapText="1"/>
    </xf>
    <xf numFmtId="0" fontId="3" fillId="11" borderId="18" xfId="0" applyFont="1" applyFill="1" applyBorder="1" applyAlignment="1">
      <alignment horizontal="center" vertical="center" wrapText="1"/>
    </xf>
    <xf numFmtId="0" fontId="38" fillId="0" borderId="64" xfId="0" applyFont="1" applyBorder="1" applyAlignment="1">
      <alignment wrapText="1"/>
    </xf>
    <xf numFmtId="0" fontId="2"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5" fillId="0" borderId="77" xfId="0" applyFont="1" applyBorder="1" applyAlignment="1">
      <alignment horizontal="center" vertical="center" wrapText="1"/>
    </xf>
    <xf numFmtId="0" fontId="5" fillId="19" borderId="36" xfId="0" applyFont="1" applyFill="1" applyBorder="1" applyAlignment="1">
      <alignment horizontal="center" vertical="center"/>
    </xf>
    <xf numFmtId="0" fontId="0" fillId="0" borderId="42" xfId="0" applyBorder="1" applyAlignment="1">
      <alignment horizontal="center" vertical="center" wrapText="1"/>
    </xf>
    <xf numFmtId="0" fontId="0" fillId="7" borderId="11" xfId="0" applyFill="1" applyBorder="1" applyAlignment="1">
      <alignment horizontal="center" vertical="center" wrapText="1"/>
    </xf>
    <xf numFmtId="0" fontId="5" fillId="0" borderId="26" xfId="0" applyFont="1" applyBorder="1" applyAlignment="1">
      <alignment horizontal="center" vertical="center" wrapText="1"/>
    </xf>
    <xf numFmtId="0" fontId="5" fillId="19" borderId="6" xfId="0" applyFont="1" applyFill="1" applyBorder="1" applyAlignment="1">
      <alignment horizontal="center" vertical="center"/>
    </xf>
    <xf numFmtId="0" fontId="0" fillId="0" borderId="63" xfId="0" applyBorder="1" applyAlignment="1">
      <alignment horizontal="center" vertical="center" wrapText="1"/>
    </xf>
    <xf numFmtId="0" fontId="0" fillId="0" borderId="26" xfId="0" applyBorder="1" applyAlignment="1">
      <alignment horizontal="center" vertical="center" wrapText="1"/>
    </xf>
    <xf numFmtId="0" fontId="0" fillId="4" borderId="67" xfId="0" applyFill="1" applyBorder="1" applyAlignment="1">
      <alignment horizontal="left" vertical="top" wrapText="1"/>
    </xf>
    <xf numFmtId="0" fontId="0" fillId="4" borderId="26" xfId="0" applyFill="1" applyBorder="1" applyAlignment="1">
      <alignment horizontal="left" vertical="top" wrapText="1"/>
    </xf>
    <xf numFmtId="0" fontId="9" fillId="12" borderId="0" xfId="0" applyFont="1" applyFill="1" applyAlignment="1">
      <alignment horizontal="left"/>
    </xf>
    <xf numFmtId="0" fontId="0" fillId="12" borderId="0" xfId="0" applyFill="1" applyAlignment="1">
      <alignment horizontal="center"/>
    </xf>
    <xf numFmtId="0" fontId="22" fillId="5" borderId="5" xfId="0" applyFont="1" applyFill="1" applyBorder="1" applyAlignment="1">
      <alignment horizontal="center" vertical="center" wrapText="1"/>
    </xf>
    <xf numFmtId="0" fontId="22" fillId="5" borderId="45" xfId="0" applyFont="1" applyFill="1" applyBorder="1" applyAlignment="1">
      <alignment horizontal="center" vertical="center" wrapText="1"/>
    </xf>
    <xf numFmtId="0" fontId="22" fillId="5" borderId="47" xfId="0" applyFont="1" applyFill="1" applyBorder="1" applyAlignment="1">
      <alignment horizontal="center" vertical="center" wrapText="1"/>
    </xf>
    <xf numFmtId="0" fontId="19" fillId="0" borderId="39" xfId="0" applyFont="1" applyBorder="1" applyAlignment="1">
      <alignment horizontal="center" vertical="center"/>
    </xf>
    <xf numFmtId="0" fontId="19" fillId="0" borderId="18" xfId="0" applyFont="1" applyBorder="1" applyAlignment="1">
      <alignment horizontal="center" vertical="center"/>
    </xf>
    <xf numFmtId="0" fontId="19" fillId="0" borderId="13" xfId="0" applyFont="1" applyBorder="1" applyAlignment="1">
      <alignment horizontal="center" vertical="center"/>
    </xf>
    <xf numFmtId="0" fontId="6" fillId="12" borderId="0" xfId="0" applyFont="1" applyFill="1" applyAlignment="1">
      <alignment horizontal="center" vertical="center"/>
    </xf>
    <xf numFmtId="0" fontId="13" fillId="5" borderId="25" xfId="0" applyFont="1" applyFill="1" applyBorder="1" applyAlignment="1">
      <alignment horizontal="center" vertical="center" wrapText="1"/>
    </xf>
    <xf numFmtId="1" fontId="0" fillId="0" borderId="20" xfId="0" applyNumberFormat="1" applyBorder="1" applyAlignment="1">
      <alignment horizontal="center" vertical="center" wrapText="1"/>
    </xf>
    <xf numFmtId="164" fontId="24" fillId="7" borderId="18" xfId="0" applyNumberFormat="1" applyFont="1" applyFill="1" applyBorder="1" applyAlignment="1">
      <alignment horizontal="center" vertical="center" wrapText="1"/>
    </xf>
    <xf numFmtId="0" fontId="39" fillId="12" borderId="0" xfId="0" applyFont="1" applyFill="1"/>
    <xf numFmtId="166" fontId="39" fillId="12" borderId="0" xfId="0" applyNumberFormat="1" applyFont="1" applyFill="1"/>
    <xf numFmtId="0" fontId="2" fillId="12" borderId="0" xfId="0" applyFont="1" applyFill="1" applyAlignment="1">
      <alignment vertical="center"/>
    </xf>
    <xf numFmtId="0" fontId="21" fillId="5" borderId="8" xfId="0" applyFont="1" applyFill="1" applyBorder="1" applyAlignment="1">
      <alignment horizontal="center" vertical="center" wrapText="1"/>
    </xf>
    <xf numFmtId="0" fontId="6"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6"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1" fillId="5" borderId="39" xfId="0" applyFont="1" applyFill="1" applyBorder="1" applyAlignment="1">
      <alignment horizontal="center" vertical="center"/>
    </xf>
    <xf numFmtId="0" fontId="13"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5"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1" fillId="5" borderId="78" xfId="0" applyFont="1" applyFill="1" applyBorder="1" applyAlignment="1">
      <alignment vertical="center"/>
    </xf>
    <xf numFmtId="0" fontId="21" fillId="5" borderId="51" xfId="0" applyFont="1" applyFill="1" applyBorder="1" applyAlignment="1">
      <alignment horizontal="center" vertical="center"/>
    </xf>
    <xf numFmtId="0" fontId="21"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4" xfId="0" applyBorder="1" applyAlignment="1">
      <alignment horizontal="center" vertical="center"/>
    </xf>
    <xf numFmtId="0" fontId="0" fillId="0" borderId="16" xfId="0" applyBorder="1" applyAlignment="1">
      <alignment horizontal="center" vertical="center"/>
    </xf>
    <xf numFmtId="0" fontId="6" fillId="12"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61" xfId="0" applyFont="1" applyFill="1" applyBorder="1" applyAlignment="1">
      <alignment horizontal="center" vertical="center" wrapText="1"/>
    </xf>
    <xf numFmtId="0" fontId="21" fillId="5" borderId="11" xfId="0" applyFont="1" applyFill="1" applyBorder="1" applyAlignment="1">
      <alignment horizontal="center" vertical="center"/>
    </xf>
    <xf numFmtId="0" fontId="21" fillId="5" borderId="25" xfId="0" applyFont="1" applyFill="1" applyBorder="1" applyAlignment="1">
      <alignment horizontal="center" vertical="center"/>
    </xf>
    <xf numFmtId="0" fontId="23" fillId="4" borderId="50" xfId="1" applyFont="1" applyFill="1" applyBorder="1" applyAlignment="1">
      <alignment horizontal="center" vertical="center"/>
    </xf>
    <xf numFmtId="0" fontId="6" fillId="7" borderId="26" xfId="21" applyFont="1" applyFill="1" applyBorder="1" applyAlignment="1">
      <alignment horizontal="center" vertical="center" wrapText="1"/>
    </xf>
    <xf numFmtId="0" fontId="30" fillId="7" borderId="29" xfId="21" applyFont="1" applyFill="1" applyBorder="1" applyAlignment="1">
      <alignment horizontal="center" vertical="center" wrapText="1"/>
    </xf>
    <xf numFmtId="0" fontId="19" fillId="7" borderId="29" xfId="21" applyFont="1" applyFill="1" applyBorder="1" applyAlignment="1">
      <alignment horizontal="center" vertical="center" wrapText="1"/>
    </xf>
    <xf numFmtId="0" fontId="19" fillId="7" borderId="14" xfId="21" applyFont="1" applyFill="1" applyBorder="1" applyAlignment="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lignment horizontal="center" vertical="center" wrapText="1"/>
    </xf>
    <xf numFmtId="0" fontId="15" fillId="5" borderId="34" xfId="0" applyFont="1" applyFill="1" applyBorder="1" applyAlignment="1">
      <alignment horizontal="center" vertical="center"/>
    </xf>
    <xf numFmtId="0" fontId="21" fillId="5" borderId="39" xfId="0" applyFont="1" applyFill="1" applyBorder="1" applyAlignment="1">
      <alignment horizontal="center" vertical="center" wrapText="1"/>
    </xf>
    <xf numFmtId="1" fontId="0" fillId="0" borderId="28" xfId="0" applyNumberFormat="1" applyBorder="1" applyAlignment="1">
      <alignment horizontal="center" vertical="center" wrapText="1"/>
    </xf>
    <xf numFmtId="0" fontId="24" fillId="7" borderId="13" xfId="0" applyFont="1" applyFill="1" applyBorder="1" applyAlignment="1">
      <alignment horizontal="center" vertical="center"/>
    </xf>
    <xf numFmtId="165" fontId="24"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lignment horizontal="center" vertical="center" wrapText="1"/>
    </xf>
    <xf numFmtId="0" fontId="0" fillId="20" borderId="2" xfId="0" applyFill="1" applyBorder="1" applyAlignment="1">
      <alignment vertical="center" wrapText="1"/>
    </xf>
    <xf numFmtId="0" fontId="41" fillId="12" borderId="0" xfId="0" applyFont="1" applyFill="1" applyAlignment="1">
      <alignment horizontal="center" vertical="center"/>
    </xf>
    <xf numFmtId="0" fontId="3" fillId="10" borderId="18" xfId="0" applyFont="1" applyFill="1" applyBorder="1" applyAlignment="1">
      <alignment horizontal="center" vertical="center" wrapText="1"/>
    </xf>
    <xf numFmtId="0" fontId="0" fillId="0" borderId="24" xfId="0" applyBorder="1" applyAlignment="1">
      <alignment horizontal="center" vertical="center"/>
    </xf>
    <xf numFmtId="0" fontId="3" fillId="10" borderId="13"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2" fillId="5" borderId="18" xfId="0" applyFont="1" applyFill="1" applyBorder="1" applyAlignment="1">
      <alignment horizontal="center" vertical="center" wrapText="1"/>
    </xf>
    <xf numFmtId="0" fontId="29"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3" fillId="2" borderId="78"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51" xfId="0" applyFont="1" applyFill="1" applyBorder="1" applyAlignment="1">
      <alignment horizontal="center" vertical="center" wrapText="1"/>
    </xf>
    <xf numFmtId="0" fontId="3"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lignment horizontal="center" vertical="center"/>
    </xf>
    <xf numFmtId="0" fontId="0" fillId="4" borderId="28" xfId="0" applyFill="1" applyBorder="1" applyAlignment="1">
      <alignment horizontal="center" vertical="center"/>
    </xf>
    <xf numFmtId="0" fontId="21" fillId="23" borderId="9" xfId="0" applyFont="1" applyFill="1" applyBorder="1" applyAlignment="1">
      <alignment horizontal="center" vertical="center"/>
    </xf>
    <xf numFmtId="0" fontId="21" fillId="23" borderId="26" xfId="0" applyFont="1" applyFill="1" applyBorder="1" applyAlignment="1">
      <alignment horizontal="center"/>
    </xf>
    <xf numFmtId="0" fontId="21" fillId="23" borderId="14" xfId="0" applyFont="1" applyFill="1" applyBorder="1" applyAlignment="1">
      <alignment horizontal="center"/>
    </xf>
    <xf numFmtId="0" fontId="13" fillId="23" borderId="21" xfId="0" applyFont="1" applyFill="1" applyBorder="1" applyAlignment="1">
      <alignment horizontal="center" vertical="center" wrapText="1"/>
    </xf>
    <xf numFmtId="0" fontId="13" fillId="23" borderId="45" xfId="0" applyFont="1" applyFill="1" applyBorder="1" applyAlignment="1">
      <alignment horizontal="center" vertical="center" wrapText="1"/>
    </xf>
    <xf numFmtId="0" fontId="13" fillId="23" borderId="47" xfId="0" applyFont="1" applyFill="1" applyBorder="1" applyAlignment="1">
      <alignment horizontal="center" vertical="center" wrapText="1"/>
    </xf>
    <xf numFmtId="0" fontId="13" fillId="23" borderId="59" xfId="0" applyFont="1" applyFill="1" applyBorder="1" applyAlignment="1">
      <alignment horizontal="center" vertical="center" wrapText="1"/>
    </xf>
    <xf numFmtId="0" fontId="13" fillId="23" borderId="1" xfId="0" applyFont="1" applyFill="1" applyBorder="1" applyAlignment="1">
      <alignment horizontal="center" vertical="center" wrapText="1"/>
    </xf>
    <xf numFmtId="0" fontId="15" fillId="23" borderId="10" xfId="0" applyFont="1" applyFill="1" applyBorder="1" applyAlignment="1">
      <alignment horizontal="center" vertical="center" wrapText="1"/>
    </xf>
    <xf numFmtId="0" fontId="15" fillId="23" borderId="7" xfId="0" applyFont="1" applyFill="1" applyBorder="1" applyAlignment="1">
      <alignment horizontal="center" vertical="center" wrapText="1"/>
    </xf>
    <xf numFmtId="0" fontId="13" fillId="23" borderId="5" xfId="0" applyFont="1" applyFill="1" applyBorder="1" applyAlignment="1">
      <alignment horizontal="center" vertical="center" wrapText="1"/>
    </xf>
    <xf numFmtId="0" fontId="15" fillId="23" borderId="4" xfId="0" applyFont="1" applyFill="1" applyBorder="1" applyAlignment="1">
      <alignment horizontal="center" vertical="center" wrapText="1"/>
    </xf>
    <xf numFmtId="0" fontId="15" fillId="23" borderId="11" xfId="0" applyFont="1" applyFill="1" applyBorder="1" applyAlignment="1">
      <alignment horizontal="center" vertical="center" wrapText="1"/>
    </xf>
    <xf numFmtId="0" fontId="22" fillId="23" borderId="39" xfId="0" applyFont="1" applyFill="1" applyBorder="1" applyAlignment="1">
      <alignment horizontal="center" vertical="center" wrapText="1"/>
    </xf>
    <xf numFmtId="0" fontId="22" fillId="23" borderId="18" xfId="0" applyFont="1" applyFill="1" applyBorder="1" applyAlignment="1">
      <alignment horizontal="center" vertical="center" wrapText="1"/>
    </xf>
    <xf numFmtId="0" fontId="22" fillId="23" borderId="13" xfId="0" applyFont="1" applyFill="1" applyBorder="1" applyAlignment="1">
      <alignment horizontal="center" vertical="center" wrapText="1"/>
    </xf>
    <xf numFmtId="0" fontId="3" fillId="24" borderId="18" xfId="0" applyFont="1" applyFill="1" applyBorder="1" applyAlignment="1">
      <alignment horizontal="center" vertical="center" wrapText="1"/>
    </xf>
    <xf numFmtId="165" fontId="12" fillId="25" borderId="29" xfId="0" applyNumberFormat="1" applyFont="1" applyFill="1" applyBorder="1" applyAlignment="1">
      <alignment horizontal="center" vertical="center" wrapText="1"/>
    </xf>
    <xf numFmtId="165" fontId="12"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5" fillId="23" borderId="25" xfId="0" applyFont="1" applyFill="1" applyBorder="1" applyAlignment="1">
      <alignment horizontal="center" vertical="center" wrapText="1"/>
    </xf>
    <xf numFmtId="0" fontId="15"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3" fillId="25" borderId="11" xfId="0" applyNumberFormat="1" applyFont="1" applyFill="1" applyBorder="1" applyAlignment="1">
      <alignment horizontal="center" vertical="center" wrapText="1"/>
    </xf>
    <xf numFmtId="0" fontId="44" fillId="4" borderId="38" xfId="0" applyFont="1" applyFill="1" applyBorder="1" applyAlignment="1">
      <alignment horizontal="left" vertical="top" wrapText="1"/>
    </xf>
    <xf numFmtId="167" fontId="6" fillId="0" borderId="36" xfId="0" applyNumberFormat="1" applyFont="1" applyBorder="1" applyAlignment="1">
      <alignment horizontal="center" vertical="center"/>
    </xf>
    <xf numFmtId="0" fontId="15"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lignment horizontal="center" vertical="center" wrapText="1"/>
    </xf>
    <xf numFmtId="2" fontId="0" fillId="0" borderId="39" xfId="0" applyNumberFormat="1" applyBorder="1" applyAlignment="1">
      <alignment horizontal="center" vertical="center" wrapText="1"/>
    </xf>
    <xf numFmtId="2" fontId="0" fillId="0" borderId="62" xfId="0" applyNumberFormat="1" applyBorder="1" applyAlignment="1">
      <alignment horizontal="center" vertical="center" wrapText="1"/>
    </xf>
    <xf numFmtId="2" fontId="0" fillId="0" borderId="20" xfId="0" applyNumberFormat="1" applyBorder="1" applyAlignment="1">
      <alignment horizontal="center" vertical="center" wrapText="1"/>
    </xf>
    <xf numFmtId="2" fontId="0" fillId="0" borderId="18" xfId="0" applyNumberFormat="1" applyBorder="1" applyAlignment="1">
      <alignment horizontal="center" vertical="center" wrapText="1"/>
    </xf>
    <xf numFmtId="2" fontId="0" fillId="0" borderId="68" xfId="0" applyNumberFormat="1" applyBorder="1" applyAlignment="1">
      <alignment horizontal="center" vertical="center" wrapText="1"/>
    </xf>
    <xf numFmtId="2" fontId="0" fillId="0" borderId="76" xfId="0" applyNumberFormat="1" applyBorder="1" applyAlignment="1">
      <alignment horizontal="center" vertical="center" wrapText="1"/>
    </xf>
    <xf numFmtId="2" fontId="0" fillId="0" borderId="13" xfId="0" applyNumberFormat="1" applyBorder="1" applyAlignment="1">
      <alignment horizontal="center" vertical="center" wrapText="1"/>
    </xf>
    <xf numFmtId="2" fontId="0" fillId="0" borderId="37" xfId="0" applyNumberFormat="1" applyBorder="1" applyAlignment="1">
      <alignment horizontal="center" vertical="center" wrapText="1"/>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5"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5" fillId="7" borderId="22" xfId="0" applyNumberFormat="1" applyFont="1" applyFill="1" applyBorder="1" applyAlignment="1">
      <alignment horizontal="center" vertical="center"/>
    </xf>
    <xf numFmtId="2" fontId="5"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lignment horizontal="center" vertical="center" wrapText="1"/>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2" fillId="7" borderId="29" xfId="0" applyNumberFormat="1" applyFont="1" applyFill="1" applyBorder="1" applyAlignment="1">
      <alignment horizontal="center" vertical="center" wrapText="1"/>
    </xf>
    <xf numFmtId="165" fontId="12" fillId="7" borderId="14" xfId="0" applyNumberFormat="1"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5" fillId="5" borderId="27" xfId="0" applyFont="1" applyFill="1" applyBorder="1" applyAlignment="1">
      <alignment horizontal="center" vertical="center" wrapText="1"/>
    </xf>
    <xf numFmtId="0" fontId="5"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5"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5" fillId="5" borderId="77"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57" xfId="0" applyFont="1" applyFill="1" applyBorder="1" applyAlignment="1">
      <alignment horizontal="center" vertical="center" wrapText="1"/>
    </xf>
    <xf numFmtId="0" fontId="15" fillId="5" borderId="69" xfId="0" applyFont="1" applyFill="1" applyBorder="1" applyAlignment="1">
      <alignment horizontal="center" vertical="center" wrapText="1"/>
    </xf>
    <xf numFmtId="0" fontId="15" fillId="5" borderId="24" xfId="0" applyFont="1" applyFill="1" applyBorder="1" applyAlignment="1">
      <alignment horizontal="center" vertical="center" wrapText="1"/>
    </xf>
    <xf numFmtId="0" fontId="15"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5" fillId="12" borderId="18" xfId="0" applyFont="1" applyFill="1" applyBorder="1" applyAlignment="1">
      <alignment horizontal="center" vertical="center" wrapText="1"/>
    </xf>
    <xf numFmtId="0" fontId="15" fillId="12"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5"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5" fillId="5" borderId="20" xfId="0" applyFont="1" applyFill="1" applyBorder="1" applyAlignment="1">
      <alignment horizontal="center" vertical="center" wrapText="1"/>
    </xf>
    <xf numFmtId="0" fontId="23" fillId="7" borderId="26" xfId="21" applyFont="1" applyFill="1" applyBorder="1" applyAlignment="1">
      <alignment horizontal="center" vertical="center" wrapText="1"/>
    </xf>
    <xf numFmtId="0" fontId="24" fillId="7" borderId="54" xfId="0" applyFont="1" applyFill="1" applyBorder="1" applyAlignment="1">
      <alignment horizontal="center" vertical="center"/>
    </xf>
    <xf numFmtId="165" fontId="24" fillId="7" borderId="54" xfId="0" applyNumberFormat="1" applyFont="1" applyFill="1" applyBorder="1" applyAlignment="1">
      <alignment horizontal="center" vertical="center" wrapText="1"/>
    </xf>
    <xf numFmtId="165" fontId="24" fillId="7" borderId="16" xfId="0" applyNumberFormat="1" applyFont="1" applyFill="1" applyBorder="1" applyAlignment="1">
      <alignment horizontal="center" wrapText="1"/>
    </xf>
    <xf numFmtId="0" fontId="0" fillId="0" borderId="49" xfId="0" applyBorder="1" applyAlignment="1">
      <alignment horizontal="left" vertical="center"/>
    </xf>
    <xf numFmtId="165" fontId="6" fillId="0" borderId="63" xfId="0" applyNumberFormat="1" applyFont="1" applyBorder="1" applyAlignment="1">
      <alignment vertical="center"/>
    </xf>
    <xf numFmtId="165" fontId="6" fillId="0" borderId="41" xfId="0" applyNumberFormat="1" applyFont="1" applyBorder="1" applyAlignment="1">
      <alignment vertical="center"/>
    </xf>
    <xf numFmtId="165" fontId="6" fillId="0" borderId="42" xfId="0" applyNumberFormat="1" applyFont="1" applyBorder="1" applyAlignment="1">
      <alignment vertical="center"/>
    </xf>
    <xf numFmtId="0" fontId="10" fillId="13" borderId="33" xfId="0" applyFont="1" applyFill="1" applyBorder="1" applyAlignment="1">
      <alignment vertical="center" wrapText="1"/>
    </xf>
    <xf numFmtId="0" fontId="27" fillId="6" borderId="53" xfId="0" applyFont="1" applyFill="1" applyBorder="1" applyAlignment="1">
      <alignment vertical="center"/>
    </xf>
    <xf numFmtId="0" fontId="27" fillId="6" borderId="44" xfId="0" applyFont="1" applyFill="1" applyBorder="1" applyAlignment="1">
      <alignment vertical="center"/>
    </xf>
    <xf numFmtId="0" fontId="27"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3" fillId="5" borderId="60" xfId="0" applyFont="1" applyFill="1" applyBorder="1" applyAlignment="1">
      <alignment horizontal="center" vertical="center" wrapText="1"/>
    </xf>
    <xf numFmtId="0" fontId="23" fillId="32" borderId="28" xfId="0" applyFont="1" applyFill="1" applyBorder="1" applyAlignment="1">
      <alignment horizontal="center" vertical="center" wrapText="1"/>
    </xf>
    <xf numFmtId="0" fontId="23" fillId="32" borderId="11" xfId="0" applyFont="1" applyFill="1" applyBorder="1" applyAlignment="1">
      <alignment horizontal="center" vertical="center" wrapText="1"/>
    </xf>
    <xf numFmtId="167" fontId="6" fillId="0" borderId="39" xfId="0" applyNumberFormat="1" applyFont="1" applyBorder="1" applyAlignment="1">
      <alignment horizontal="center" vertical="center"/>
    </xf>
    <xf numFmtId="167" fontId="6" fillId="0" borderId="26" xfId="0" applyNumberFormat="1" applyFont="1" applyBorder="1" applyAlignment="1">
      <alignment horizontal="center" vertical="center"/>
    </xf>
    <xf numFmtId="167" fontId="0" fillId="0" borderId="24" xfId="0" applyNumberFormat="1" applyBorder="1" applyAlignment="1">
      <alignment horizontal="center" vertical="center"/>
    </xf>
    <xf numFmtId="167" fontId="0" fillId="0" borderId="19" xfId="0" applyNumberFormat="1" applyBorder="1" applyAlignment="1">
      <alignment horizontal="center" vertical="center"/>
    </xf>
    <xf numFmtId="0" fontId="0" fillId="7" borderId="44" xfId="0" applyFill="1" applyBorder="1" applyAlignment="1">
      <alignment horizontal="center" vertical="center" wrapText="1"/>
    </xf>
    <xf numFmtId="0" fontId="0" fillId="7" borderId="7" xfId="0" applyFill="1" applyBorder="1" applyAlignment="1">
      <alignment horizontal="center" vertical="center" wrapText="1"/>
    </xf>
    <xf numFmtId="2" fontId="5"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lignment horizontal="center" vertical="center" wrapText="1"/>
    </xf>
    <xf numFmtId="0" fontId="23"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5"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5"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5" fillId="7" borderId="5" xfId="0" applyNumberFormat="1" applyFont="1" applyFill="1" applyBorder="1" applyAlignment="1">
      <alignment horizontal="center" vertical="center"/>
    </xf>
    <xf numFmtId="2" fontId="5" fillId="7" borderId="34" xfId="0" applyNumberFormat="1" applyFont="1" applyFill="1" applyBorder="1" applyAlignment="1">
      <alignment horizontal="center" vertical="center"/>
    </xf>
    <xf numFmtId="0" fontId="15"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5"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5" fillId="12" borderId="0" xfId="0" applyFont="1" applyFill="1"/>
    <xf numFmtId="0" fontId="5"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2" fillId="32" borderId="26" xfId="0" applyNumberFormat="1" applyFont="1" applyFill="1" applyBorder="1" applyAlignment="1">
      <alignment horizontal="center" vertical="center"/>
    </xf>
    <xf numFmtId="165" fontId="34" fillId="32" borderId="14" xfId="0" applyNumberFormat="1" applyFont="1" applyFill="1" applyBorder="1" applyAlignment="1">
      <alignment horizontal="center" vertical="center"/>
    </xf>
    <xf numFmtId="165" fontId="34" fillId="32" borderId="29" xfId="0" applyNumberFormat="1" applyFont="1" applyFill="1" applyBorder="1" applyAlignment="1">
      <alignment horizontal="center" vertical="center"/>
    </xf>
    <xf numFmtId="0" fontId="21" fillId="28" borderId="51" xfId="0" applyFont="1" applyFill="1" applyBorder="1" applyAlignment="1">
      <alignment horizontal="center" vertical="center"/>
    </xf>
    <xf numFmtId="0" fontId="21"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4" fillId="32" borderId="13" xfId="0" applyFont="1" applyFill="1" applyBorder="1" applyAlignment="1">
      <alignment horizontal="center" vertical="center"/>
    </xf>
    <xf numFmtId="165" fontId="34" fillId="32" borderId="13" xfId="0" applyNumberFormat="1" applyFont="1" applyFill="1" applyBorder="1" applyAlignment="1">
      <alignment horizontal="center" vertical="center"/>
    </xf>
    <xf numFmtId="0" fontId="21"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4" fillId="12" borderId="9" xfId="0" applyFont="1" applyFill="1" applyBorder="1" applyAlignment="1">
      <alignment horizontal="center" vertical="center"/>
    </xf>
    <xf numFmtId="0" fontId="21" fillId="28" borderId="78" xfId="0" applyFont="1" applyFill="1" applyBorder="1" applyAlignment="1">
      <alignment horizontal="center" vertical="center"/>
    </xf>
    <xf numFmtId="0" fontId="21"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1" fillId="28" borderId="78" xfId="0" applyFont="1" applyFill="1" applyBorder="1" applyAlignment="1">
      <alignment horizontal="center" vertical="center" wrapText="1"/>
    </xf>
    <xf numFmtId="165" fontId="39" fillId="12" borderId="0" xfId="0" applyNumberFormat="1" applyFont="1" applyFill="1"/>
    <xf numFmtId="0" fontId="13"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3" fillId="28" borderId="50" xfId="0" applyFont="1" applyFill="1" applyBorder="1" applyAlignment="1">
      <alignment horizontal="center" vertical="center" wrapText="1"/>
    </xf>
    <xf numFmtId="0" fontId="24" fillId="2" borderId="48" xfId="0" applyFont="1" applyFill="1" applyBorder="1" applyAlignment="1">
      <alignment horizontal="center" vertical="center" wrapText="1"/>
    </xf>
    <xf numFmtId="0" fontId="24" fillId="2" borderId="49" xfId="0" applyFont="1" applyFill="1" applyBorder="1" applyAlignment="1">
      <alignment horizontal="center" vertical="center" wrapText="1"/>
    </xf>
    <xf numFmtId="0" fontId="24"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1" fillId="5" borderId="24" xfId="0" applyFont="1" applyFill="1" applyBorder="1" applyAlignment="1">
      <alignment horizontal="center" vertical="center" wrapText="1"/>
    </xf>
    <xf numFmtId="0" fontId="41" fillId="12" borderId="24" xfId="0" applyFont="1" applyFill="1" applyBorder="1" applyAlignment="1">
      <alignment horizontal="center" vertical="center" wrapText="1"/>
    </xf>
    <xf numFmtId="0" fontId="39" fillId="0" borderId="0" xfId="0" applyFont="1"/>
    <xf numFmtId="2" fontId="0" fillId="0" borderId="67" xfId="0" applyNumberFormat="1" applyBorder="1" applyAlignment="1">
      <alignment horizontal="center" vertical="center" wrapText="1"/>
    </xf>
    <xf numFmtId="2" fontId="0" fillId="0" borderId="23" xfId="0" applyNumberFormat="1" applyBorder="1" applyAlignment="1">
      <alignment horizontal="center" vertical="center" wrapText="1"/>
    </xf>
    <xf numFmtId="2" fontId="0" fillId="0" borderId="57" xfId="0" applyNumberFormat="1" applyBorder="1" applyAlignment="1">
      <alignment horizontal="center" vertical="center" wrapText="1"/>
    </xf>
    <xf numFmtId="0" fontId="15"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5"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5" fillId="2" borderId="18" xfId="0" applyFont="1" applyFill="1" applyBorder="1" applyAlignment="1">
      <alignment horizontal="center" vertical="center" wrapText="1"/>
    </xf>
    <xf numFmtId="0" fontId="5" fillId="12" borderId="18" xfId="0" applyFont="1" applyFill="1" applyBorder="1" applyAlignment="1">
      <alignment horizontal="center" vertical="center" wrapText="1"/>
    </xf>
    <xf numFmtId="0" fontId="45" fillId="12" borderId="0" xfId="0" applyFont="1" applyFill="1" applyAlignment="1">
      <alignment horizontal="left"/>
    </xf>
    <xf numFmtId="0" fontId="13" fillId="5" borderId="44" xfId="0" applyFont="1" applyFill="1" applyBorder="1" applyAlignment="1">
      <alignment horizontal="center" vertical="center" wrapText="1"/>
    </xf>
    <xf numFmtId="0" fontId="29"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6" fillId="3" borderId="5" xfId="0" applyNumberFormat="1" applyFont="1" applyFill="1" applyBorder="1" applyAlignment="1">
      <alignment horizontal="center" vertical="center"/>
    </xf>
    <xf numFmtId="165" fontId="6" fillId="3" borderId="6" xfId="0" applyNumberFormat="1" applyFont="1" applyFill="1" applyBorder="1" applyAlignment="1">
      <alignment vertical="center"/>
    </xf>
    <xf numFmtId="165" fontId="6" fillId="3" borderId="45" xfId="0" applyNumberFormat="1" applyFont="1" applyFill="1" applyBorder="1" applyAlignment="1">
      <alignment horizontal="center" vertical="center"/>
    </xf>
    <xf numFmtId="165" fontId="6" fillId="3" borderId="56" xfId="0" applyNumberFormat="1" applyFont="1" applyFill="1" applyBorder="1" applyAlignment="1">
      <alignment vertical="center"/>
    </xf>
    <xf numFmtId="165" fontId="6" fillId="3" borderId="34" xfId="0" applyNumberFormat="1" applyFont="1" applyFill="1" applyBorder="1" applyAlignment="1">
      <alignment horizontal="center" vertical="center"/>
    </xf>
    <xf numFmtId="165" fontId="6"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4" fillId="12" borderId="0" xfId="0" applyFont="1" applyFill="1"/>
    <xf numFmtId="0" fontId="24" fillId="12" borderId="0" xfId="0" applyFont="1" applyFill="1" applyAlignment="1">
      <alignment vertical="center" wrapText="1"/>
    </xf>
    <xf numFmtId="0" fontId="15" fillId="5" borderId="58" xfId="0" applyFont="1" applyFill="1" applyBorder="1" applyAlignment="1">
      <alignment horizontal="center" vertical="center" wrapText="1"/>
    </xf>
    <xf numFmtId="0" fontId="15" fillId="5" borderId="53" xfId="0" applyFont="1" applyFill="1" applyBorder="1" applyAlignment="1">
      <alignment horizontal="center" vertical="center" wrapText="1"/>
    </xf>
    <xf numFmtId="2" fontId="6" fillId="12" borderId="0" xfId="0" applyNumberFormat="1" applyFont="1" applyFill="1" applyAlignment="1">
      <alignment horizontal="center" vertical="center"/>
    </xf>
    <xf numFmtId="165" fontId="24"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5"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5" fillId="5" borderId="52" xfId="0" applyFont="1" applyFill="1" applyBorder="1" applyAlignment="1">
      <alignment horizontal="center" vertical="center" wrapText="1"/>
    </xf>
    <xf numFmtId="0" fontId="15"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2" fillId="23" borderId="62" xfId="0" applyFont="1" applyFill="1" applyBorder="1" applyAlignment="1">
      <alignment horizontal="center" vertical="center" wrapText="1"/>
    </xf>
    <xf numFmtId="0" fontId="22" fillId="23" borderId="27" xfId="0" applyFont="1" applyFill="1" applyBorder="1" applyAlignment="1">
      <alignment horizontal="center" vertical="center" wrapText="1"/>
    </xf>
    <xf numFmtId="0" fontId="22" fillId="23" borderId="61" xfId="0" applyFont="1" applyFill="1" applyBorder="1" applyAlignment="1">
      <alignment horizontal="center" vertical="center" wrapText="1"/>
    </xf>
    <xf numFmtId="165" fontId="6" fillId="0" borderId="34" xfId="0" applyNumberFormat="1" applyFont="1" applyBorder="1" applyAlignment="1">
      <alignment horizontal="center" vertical="center" wrapText="1"/>
    </xf>
    <xf numFmtId="165" fontId="49" fillId="34" borderId="36" xfId="0" applyNumberFormat="1" applyFont="1" applyFill="1" applyBorder="1" applyAlignment="1">
      <alignment horizontal="center" vertical="center" wrapText="1"/>
    </xf>
    <xf numFmtId="165" fontId="6" fillId="25" borderId="5" xfId="0" applyNumberFormat="1" applyFont="1" applyFill="1" applyBorder="1" applyAlignment="1">
      <alignment horizontal="center" vertical="center" wrapText="1"/>
    </xf>
    <xf numFmtId="165" fontId="49" fillId="34" borderId="6" xfId="0" applyNumberFormat="1" applyFont="1" applyFill="1" applyBorder="1" applyAlignment="1">
      <alignment horizontal="center" vertical="center" wrapText="1"/>
    </xf>
    <xf numFmtId="165" fontId="6" fillId="0" borderId="45" xfId="0" applyNumberFormat="1" applyFont="1" applyBorder="1" applyAlignment="1">
      <alignment horizontal="center" vertical="center" wrapText="1"/>
    </xf>
    <xf numFmtId="165" fontId="49" fillId="34" borderId="56" xfId="0" applyNumberFormat="1" applyFont="1" applyFill="1" applyBorder="1" applyAlignment="1">
      <alignment horizontal="center" vertical="center" wrapText="1"/>
    </xf>
    <xf numFmtId="10" fontId="6" fillId="0" borderId="5" xfId="32" applyNumberFormat="1" applyFont="1" applyFill="1" applyBorder="1" applyAlignment="1">
      <alignment horizontal="center" vertical="center" wrapText="1"/>
    </xf>
    <xf numFmtId="165" fontId="50" fillId="35" borderId="6" xfId="0" applyNumberFormat="1" applyFont="1" applyFill="1" applyBorder="1" applyAlignment="1">
      <alignment horizontal="center" vertical="center" wrapText="1"/>
    </xf>
    <xf numFmtId="10" fontId="6" fillId="0" borderId="45" xfId="32" applyNumberFormat="1" applyFont="1" applyFill="1" applyBorder="1" applyAlignment="1">
      <alignment horizontal="center" vertical="center" wrapText="1"/>
    </xf>
    <xf numFmtId="165" fontId="50" fillId="35" borderId="56" xfId="0" applyNumberFormat="1" applyFont="1" applyFill="1" applyBorder="1" applyAlignment="1">
      <alignment horizontal="center" vertical="center" wrapText="1"/>
    </xf>
    <xf numFmtId="10" fontId="6" fillId="0" borderId="47" xfId="32" applyNumberFormat="1" applyFont="1" applyFill="1" applyBorder="1" applyAlignment="1">
      <alignment horizontal="center" vertical="center" wrapText="1"/>
    </xf>
    <xf numFmtId="165" fontId="50"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lignment horizontal="center" vertical="center" wrapText="1"/>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lignment horizontal="center" wrapText="1"/>
    </xf>
    <xf numFmtId="0" fontId="0" fillId="0" borderId="9" xfId="0" applyBorder="1" applyAlignment="1">
      <alignment horizontal="center" wrapText="1"/>
    </xf>
    <xf numFmtId="0" fontId="19" fillId="0" borderId="61" xfId="0" applyFont="1" applyBorder="1" applyAlignment="1">
      <alignment horizontal="center" vertical="center" wrapText="1"/>
    </xf>
    <xf numFmtId="0" fontId="19" fillId="0" borderId="55" xfId="0" applyFont="1" applyBorder="1" applyAlignment="1">
      <alignment horizontal="center" vertical="center" wrapText="1"/>
    </xf>
    <xf numFmtId="0" fontId="52" fillId="12" borderId="0" xfId="0" applyFont="1" applyFill="1" applyAlignment="1">
      <alignment horizontal="left" vertical="center" wrapText="1"/>
    </xf>
    <xf numFmtId="0" fontId="19" fillId="0" borderId="53" xfId="0" applyFont="1" applyBorder="1" applyAlignment="1">
      <alignment horizontal="center" vertical="center"/>
    </xf>
    <xf numFmtId="0" fontId="23"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14" fontId="6" fillId="0" borderId="43" xfId="0" applyNumberFormat="1" applyFont="1" applyFill="1" applyBorder="1" applyAlignment="1">
      <alignment horizontal="center" vertical="center"/>
    </xf>
    <xf numFmtId="2" fontId="19" fillId="0" borderId="18" xfId="0" applyNumberFormat="1" applyFont="1" applyFill="1" applyBorder="1" applyAlignment="1">
      <alignment horizontal="center" vertical="center"/>
    </xf>
    <xf numFmtId="14" fontId="19" fillId="0" borderId="18" xfId="0" applyNumberFormat="1" applyFont="1" applyFill="1" applyBorder="1" applyAlignment="1">
      <alignment horizontal="center" vertical="center"/>
    </xf>
    <xf numFmtId="0" fontId="24" fillId="32" borderId="59" xfId="1" applyFont="1" applyFill="1" applyBorder="1" applyAlignment="1">
      <alignment horizontal="center" vertical="center"/>
    </xf>
    <xf numFmtId="0" fontId="24" fillId="32" borderId="60" xfId="1" applyFont="1" applyFill="1" applyBorder="1" applyAlignment="1">
      <alignment horizontal="center" vertical="center"/>
    </xf>
    <xf numFmtId="0" fontId="24" fillId="32" borderId="21" xfId="1" applyFont="1" applyFill="1" applyBorder="1" applyAlignment="1">
      <alignment horizontal="center" vertical="center"/>
    </xf>
    <xf numFmtId="0" fontId="24" fillId="32" borderId="23" xfId="1" applyFont="1" applyFill="1" applyBorder="1" applyAlignment="1">
      <alignment horizontal="center" vertical="center"/>
    </xf>
    <xf numFmtId="0" fontId="12" fillId="14" borderId="65" xfId="1" applyFont="1" applyFill="1" applyBorder="1" applyAlignment="1">
      <alignment horizontal="center" vertical="center"/>
    </xf>
    <xf numFmtId="0" fontId="12" fillId="14" borderId="64" xfId="1" applyFont="1" applyFill="1" applyBorder="1" applyAlignment="1">
      <alignment horizontal="center" vertical="center"/>
    </xf>
    <xf numFmtId="0" fontId="12" fillId="14" borderId="80" xfId="1" applyFont="1" applyFill="1" applyBorder="1" applyAlignment="1">
      <alignment horizontal="center" vertical="center"/>
    </xf>
    <xf numFmtId="0" fontId="12" fillId="14" borderId="68" xfId="1" applyFont="1" applyFill="1" applyBorder="1" applyAlignment="1">
      <alignment horizontal="center" vertical="center"/>
    </xf>
    <xf numFmtId="0" fontId="12" fillId="14" borderId="17" xfId="1" applyFont="1" applyFill="1" applyBorder="1" applyAlignment="1">
      <alignment horizontal="center" vertical="center"/>
    </xf>
    <xf numFmtId="0" fontId="12"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4" fillId="30" borderId="13" xfId="0" applyFont="1" applyFill="1" applyBorder="1" applyAlignment="1">
      <alignment horizontal="center" vertical="center"/>
    </xf>
    <xf numFmtId="0" fontId="34" fillId="30" borderId="14" xfId="0" applyFont="1" applyFill="1" applyBorder="1" applyAlignment="1">
      <alignment horizontal="center" vertical="center"/>
    </xf>
    <xf numFmtId="0" fontId="26" fillId="27" borderId="45" xfId="0" applyFont="1" applyFill="1" applyBorder="1" applyAlignment="1">
      <alignment horizontal="center" vertical="center"/>
    </xf>
    <xf numFmtId="0" fontId="26" fillId="27" borderId="38" xfId="0" applyFont="1" applyFill="1" applyBorder="1" applyAlignment="1">
      <alignment horizontal="center" vertical="center"/>
    </xf>
    <xf numFmtId="0" fontId="34" fillId="30" borderId="27" xfId="0" applyFont="1" applyFill="1" applyBorder="1" applyAlignment="1">
      <alignment horizontal="center" vertical="center"/>
    </xf>
    <xf numFmtId="0" fontId="34" fillId="30" borderId="41" xfId="0" applyFont="1" applyFill="1" applyBorder="1" applyAlignment="1">
      <alignment horizontal="center" vertical="center"/>
    </xf>
    <xf numFmtId="0" fontId="34" fillId="30" borderId="56" xfId="0" applyFont="1" applyFill="1" applyBorder="1" applyAlignment="1">
      <alignment horizontal="center" vertical="center"/>
    </xf>
    <xf numFmtId="0" fontId="0" fillId="12" borderId="0" xfId="0" applyFill="1" applyAlignment="1">
      <alignment horizontal="center" vertical="top" wrapText="1"/>
    </xf>
    <xf numFmtId="49" fontId="5" fillId="12" borderId="0" xfId="0" applyNumberFormat="1" applyFont="1" applyFill="1" applyAlignment="1">
      <alignment horizontal="center"/>
    </xf>
    <xf numFmtId="0" fontId="5" fillId="12" borderId="0" xfId="0" applyFont="1" applyFill="1" applyAlignment="1">
      <alignment horizontal="center"/>
    </xf>
    <xf numFmtId="0" fontId="0" fillId="12" borderId="0" xfId="0" applyFill="1" applyAlignment="1">
      <alignment horizontal="center" vertical="top"/>
    </xf>
    <xf numFmtId="0" fontId="43" fillId="12" borderId="0" xfId="0" applyFont="1" applyFill="1" applyAlignment="1">
      <alignment horizontal="center" vertical="center"/>
    </xf>
    <xf numFmtId="0" fontId="7" fillId="12" borderId="0" xfId="0" applyFont="1" applyFill="1" applyAlignment="1">
      <alignment horizontal="center"/>
    </xf>
    <xf numFmtId="0" fontId="9" fillId="12" borderId="0" xfId="0" applyFont="1" applyFill="1" applyAlignment="1">
      <alignment horizontal="center" vertical="center" wrapText="1"/>
    </xf>
    <xf numFmtId="0" fontId="9" fillId="12" borderId="0" xfId="0" applyFont="1" applyFill="1" applyAlignment="1">
      <alignment horizontal="center" vertical="center"/>
    </xf>
    <xf numFmtId="0" fontId="27" fillId="12" borderId="0" xfId="0" applyFont="1" applyFill="1" applyAlignment="1">
      <alignment horizontal="center" vertical="center"/>
    </xf>
    <xf numFmtId="0" fontId="3"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3" xfId="0" applyFont="1" applyBorder="1" applyAlignment="1">
      <alignment horizontal="center" vertical="center" wrapText="1"/>
    </xf>
    <xf numFmtId="0" fontId="12" fillId="14" borderId="74" xfId="1" applyFont="1" applyFill="1" applyBorder="1" applyAlignment="1">
      <alignment horizontal="center" vertical="center"/>
    </xf>
    <xf numFmtId="0" fontId="12" fillId="14" borderId="31" xfId="1" applyFont="1" applyFill="1" applyBorder="1" applyAlignment="1">
      <alignment horizontal="center" vertical="center"/>
    </xf>
    <xf numFmtId="0" fontId="12" fillId="14" borderId="32" xfId="1" applyFont="1" applyFill="1" applyBorder="1" applyAlignment="1">
      <alignment horizontal="center" vertical="center"/>
    </xf>
    <xf numFmtId="0" fontId="34" fillId="29" borderId="28" xfId="0" applyFont="1" applyFill="1" applyBorder="1" applyAlignment="1">
      <alignment horizontal="center" vertical="center"/>
    </xf>
    <xf numFmtId="0" fontId="34" fillId="29" borderId="18" xfId="0" applyFont="1" applyFill="1" applyBorder="1" applyAlignment="1">
      <alignment horizontal="center" vertical="center"/>
    </xf>
    <xf numFmtId="0" fontId="34" fillId="30" borderId="18" xfId="0" applyFont="1" applyFill="1" applyBorder="1" applyAlignment="1">
      <alignment horizontal="center" vertical="center"/>
    </xf>
    <xf numFmtId="0" fontId="34" fillId="30" borderId="29" xfId="0" applyFont="1" applyFill="1" applyBorder="1" applyAlignment="1">
      <alignment horizontal="center" vertical="center"/>
    </xf>
    <xf numFmtId="0" fontId="24" fillId="25" borderId="59" xfId="1" applyFont="1" applyFill="1" applyBorder="1" applyAlignment="1">
      <alignment horizontal="center" vertical="center"/>
    </xf>
    <xf numFmtId="0" fontId="24" fillId="25" borderId="60" xfId="1" applyFont="1" applyFill="1" applyBorder="1" applyAlignment="1">
      <alignment horizontal="center" vertical="center"/>
    </xf>
    <xf numFmtId="0" fontId="24" fillId="25" borderId="21" xfId="1" applyFont="1" applyFill="1" applyBorder="1" applyAlignment="1">
      <alignment horizontal="center" vertical="center"/>
    </xf>
    <xf numFmtId="0" fontId="24" fillId="25" borderId="23" xfId="1" applyFont="1" applyFill="1" applyBorder="1" applyAlignment="1">
      <alignment horizontal="center" vertical="center"/>
    </xf>
    <xf numFmtId="0" fontId="12" fillId="30" borderId="65" xfId="1" applyFont="1" applyFill="1" applyBorder="1" applyAlignment="1">
      <alignment horizontal="center" vertical="center"/>
    </xf>
    <xf numFmtId="0" fontId="12" fillId="30" borderId="64" xfId="1" applyFont="1" applyFill="1" applyBorder="1" applyAlignment="1">
      <alignment horizontal="center" vertical="center"/>
    </xf>
    <xf numFmtId="0" fontId="12" fillId="30" borderId="80" xfId="1" applyFont="1" applyFill="1" applyBorder="1" applyAlignment="1">
      <alignment horizontal="center" vertical="center"/>
    </xf>
    <xf numFmtId="0" fontId="12" fillId="30" borderId="68" xfId="1" applyFont="1" applyFill="1" applyBorder="1" applyAlignment="1">
      <alignment horizontal="center" vertical="center"/>
    </xf>
    <xf numFmtId="0" fontId="12" fillId="30" borderId="17" xfId="1" applyFont="1" applyFill="1" applyBorder="1" applyAlignment="1">
      <alignment horizontal="center" vertical="center"/>
    </xf>
    <xf numFmtId="0" fontId="12" fillId="30" borderId="46" xfId="1" applyFont="1" applyFill="1" applyBorder="1" applyAlignment="1">
      <alignment horizontal="center" vertical="center"/>
    </xf>
    <xf numFmtId="0" fontId="6"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6" fillId="12" borderId="33" xfId="0" applyFont="1" applyFill="1" applyBorder="1" applyAlignment="1">
      <alignment horizontal="center" vertical="center"/>
    </xf>
    <xf numFmtId="0" fontId="6" fillId="12" borderId="0" xfId="0" applyFont="1" applyFill="1" applyAlignment="1">
      <alignment horizontal="center" vertical="center"/>
    </xf>
    <xf numFmtId="0" fontId="21" fillId="5" borderId="45" xfId="1" applyFont="1" applyFill="1" applyBorder="1" applyAlignment="1">
      <alignment horizontal="center" vertical="center"/>
    </xf>
    <xf numFmtId="0" fontId="21" fillId="5" borderId="56" xfId="1" applyFont="1" applyFill="1" applyBorder="1" applyAlignment="1">
      <alignment horizontal="center" vertical="center"/>
    </xf>
    <xf numFmtId="0" fontId="21" fillId="5" borderId="5" xfId="1" applyFont="1" applyFill="1" applyBorder="1" applyAlignment="1">
      <alignment horizontal="center" vertical="center"/>
    </xf>
    <xf numFmtId="0" fontId="21" fillId="5" borderId="6" xfId="1" applyFont="1" applyFill="1" applyBorder="1" applyAlignment="1">
      <alignment horizontal="center" vertical="center"/>
    </xf>
    <xf numFmtId="0" fontId="21" fillId="5" borderId="47" xfId="1" applyFont="1" applyFill="1" applyBorder="1" applyAlignment="1">
      <alignment horizontal="center" vertical="center"/>
    </xf>
    <xf numFmtId="0" fontId="21" fillId="5" borderId="55" xfId="1" applyFont="1" applyFill="1" applyBorder="1" applyAlignment="1">
      <alignment horizontal="center" vertical="center"/>
    </xf>
    <xf numFmtId="0" fontId="40" fillId="12" borderId="0" xfId="0" applyFont="1" applyFill="1" applyAlignment="1">
      <alignment horizontal="center" vertical="center"/>
    </xf>
    <xf numFmtId="0" fontId="21" fillId="5" borderId="1" xfId="0" applyFont="1" applyFill="1" applyBorder="1" applyAlignment="1">
      <alignment horizontal="center" vertical="center"/>
    </xf>
    <xf numFmtId="0" fontId="21" fillId="5" borderId="40" xfId="0" applyFont="1" applyFill="1" applyBorder="1" applyAlignment="1">
      <alignment horizontal="center" vertical="center"/>
    </xf>
    <xf numFmtId="0" fontId="3" fillId="12" borderId="33" xfId="0" applyFont="1" applyFill="1" applyBorder="1" applyAlignment="1">
      <alignment horizontal="center" vertical="center" wrapText="1"/>
    </xf>
    <xf numFmtId="0" fontId="3" fillId="12" borderId="0" xfId="0" applyFont="1" applyFill="1" applyAlignment="1">
      <alignment horizontal="center" vertical="center" wrapText="1"/>
    </xf>
    <xf numFmtId="0" fontId="21" fillId="23" borderId="13" xfId="0" applyFont="1" applyFill="1" applyBorder="1" applyAlignment="1">
      <alignment horizontal="center" vertical="center"/>
    </xf>
    <xf numFmtId="0" fontId="21" fillId="23" borderId="14" xfId="0" applyFont="1" applyFill="1" applyBorder="1" applyAlignment="1">
      <alignment horizontal="center" vertical="center"/>
    </xf>
    <xf numFmtId="0" fontId="21" fillId="23" borderId="39" xfId="0" applyFont="1" applyFill="1" applyBorder="1" applyAlignment="1">
      <alignment horizontal="center" vertical="center"/>
    </xf>
    <xf numFmtId="0" fontId="21" fillId="23" borderId="26" xfId="0" applyFont="1" applyFill="1" applyBorder="1" applyAlignment="1">
      <alignment horizontal="center" vertical="center"/>
    </xf>
    <xf numFmtId="0" fontId="19" fillId="0" borderId="27"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55" xfId="0" applyFont="1" applyBorder="1" applyAlignment="1">
      <alignment horizontal="center" vertical="center" wrapText="1"/>
    </xf>
    <xf numFmtId="0" fontId="13" fillId="23" borderId="25" xfId="0" applyFont="1" applyFill="1" applyBorder="1" applyAlignment="1">
      <alignment horizontal="center" vertical="center"/>
    </xf>
    <xf numFmtId="0" fontId="13" fillId="23" borderId="11" xfId="0" applyFont="1" applyFill="1" applyBorder="1" applyAlignment="1">
      <alignment horizontal="center" vertical="center"/>
    </xf>
    <xf numFmtId="0" fontId="21" fillId="5" borderId="11" xfId="0" applyFont="1" applyFill="1" applyBorder="1" applyAlignment="1">
      <alignment horizontal="center"/>
    </xf>
    <xf numFmtId="0" fontId="21" fillId="5" borderId="13" xfId="0" applyFont="1" applyFill="1" applyBorder="1" applyAlignment="1">
      <alignment horizontal="center"/>
    </xf>
    <xf numFmtId="0" fontId="21" fillId="5" borderId="25" xfId="0" applyFont="1" applyFill="1" applyBorder="1" applyAlignment="1">
      <alignment horizontal="center"/>
    </xf>
    <xf numFmtId="0" fontId="21" fillId="5" borderId="39" xfId="0" applyFont="1" applyFill="1" applyBorder="1" applyAlignment="1">
      <alignment horizontal="center"/>
    </xf>
    <xf numFmtId="0" fontId="34" fillId="0" borderId="0" xfId="0" applyFont="1" applyAlignment="1">
      <alignment horizontal="center" vertical="center" wrapText="1"/>
    </xf>
    <xf numFmtId="0" fontId="27" fillId="12" borderId="33" xfId="0" applyFont="1" applyFill="1" applyBorder="1" applyAlignment="1">
      <alignment horizontal="center" vertical="center"/>
    </xf>
    <xf numFmtId="0" fontId="13" fillId="23" borderId="20" xfId="0" applyFont="1" applyFill="1" applyBorder="1" applyAlignment="1">
      <alignment horizontal="center" vertical="center"/>
    </xf>
    <xf numFmtId="0" fontId="13" fillId="23" borderId="15" xfId="0" applyFont="1" applyFill="1" applyBorder="1" applyAlignment="1">
      <alignment horizontal="center" vertical="center"/>
    </xf>
    <xf numFmtId="0" fontId="11" fillId="3" borderId="0" xfId="0" applyFont="1" applyFill="1" applyAlignment="1">
      <alignment horizontal="center" vertical="center"/>
    </xf>
    <xf numFmtId="1" fontId="3" fillId="25" borderId="61" xfId="0" applyNumberFormat="1" applyFont="1" applyFill="1" applyBorder="1" applyAlignment="1">
      <alignment horizontal="center" vertical="center" wrapText="1"/>
    </xf>
    <xf numFmtId="1" fontId="3"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5" fillId="5" borderId="1" xfId="0" applyFont="1" applyFill="1" applyBorder="1" applyAlignment="1">
      <alignment horizontal="center" vertical="center"/>
    </xf>
    <xf numFmtId="0" fontId="15"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5" fillId="5" borderId="3" xfId="0" applyFont="1" applyFill="1" applyBorder="1" applyAlignment="1">
      <alignment horizontal="center" vertical="center"/>
    </xf>
    <xf numFmtId="0" fontId="15" fillId="5" borderId="4"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57"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0" borderId="29" xfId="0" applyFont="1" applyBorder="1" applyAlignment="1">
      <alignment horizontal="center" vertical="center" wrapText="1"/>
    </xf>
    <xf numFmtId="0" fontId="5" fillId="7" borderId="4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7" borderId="28" xfId="0" applyFont="1" applyFill="1" applyBorder="1" applyAlignment="1">
      <alignment horizontal="center" vertical="center"/>
    </xf>
    <xf numFmtId="0" fontId="5" fillId="7" borderId="29" xfId="0" applyFont="1" applyFill="1" applyBorder="1" applyAlignment="1">
      <alignment horizontal="center" vertical="center"/>
    </xf>
    <xf numFmtId="0" fontId="15" fillId="5" borderId="28"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 fillId="12" borderId="31"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lignment horizontal="center" vertical="center" wrapText="1"/>
    </xf>
    <xf numFmtId="1" fontId="0" fillId="0" borderId="38" xfId="0" applyNumberFormat="1" applyBorder="1" applyAlignment="1">
      <alignment horizontal="center" vertical="center" wrapText="1"/>
    </xf>
    <xf numFmtId="1" fontId="0" fillId="0" borderId="62" xfId="0" applyNumberFormat="1" applyBorder="1" applyAlignment="1">
      <alignment horizontal="center" vertical="center" wrapText="1"/>
    </xf>
    <xf numFmtId="1" fontId="0" fillId="0" borderId="67" xfId="0" applyNumberFormat="1" applyBorder="1" applyAlignment="1">
      <alignment horizontal="center" vertical="center" wrapText="1"/>
    </xf>
    <xf numFmtId="0" fontId="5" fillId="7" borderId="11" xfId="0" applyFont="1" applyFill="1" applyBorder="1" applyAlignment="1">
      <alignment horizontal="center" vertical="center"/>
    </xf>
    <xf numFmtId="0" fontId="5" fillId="7" borderId="14" xfId="0" applyFont="1" applyFill="1" applyBorder="1" applyAlignment="1">
      <alignment horizontal="center" vertical="center"/>
    </xf>
    <xf numFmtId="1" fontId="3" fillId="25" borderId="13" xfId="0" applyNumberFormat="1" applyFont="1" applyFill="1" applyBorder="1" applyAlignment="1">
      <alignment horizontal="center" vertical="center" wrapText="1"/>
    </xf>
    <xf numFmtId="1" fontId="3" fillId="25" borderId="12" xfId="0" applyNumberFormat="1" applyFont="1" applyFill="1" applyBorder="1" applyAlignment="1">
      <alignment horizontal="center" vertical="center" wrapText="1"/>
    </xf>
    <xf numFmtId="0" fontId="5" fillId="17" borderId="45" xfId="0" applyFont="1" applyFill="1" applyBorder="1" applyAlignment="1">
      <alignment horizontal="center" vertical="center"/>
    </xf>
    <xf numFmtId="0" fontId="5" fillId="17" borderId="56" xfId="0" applyFont="1" applyFill="1" applyBorder="1" applyAlignment="1">
      <alignment horizontal="center" vertical="center"/>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2" fontId="0" fillId="0" borderId="21" xfId="0" applyNumberFormat="1" applyBorder="1" applyAlignment="1">
      <alignment horizontal="center" vertical="center" wrapText="1"/>
    </xf>
    <xf numFmtId="2" fontId="0" fillId="0" borderId="17" xfId="0" applyNumberFormat="1" applyBorder="1" applyAlignment="1">
      <alignment horizontal="center" vertical="center" wrapText="1"/>
    </xf>
    <xf numFmtId="2" fontId="0" fillId="0" borderId="46" xfId="0" applyNumberForma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13" fillId="5" borderId="61" xfId="0" applyFont="1" applyFill="1" applyBorder="1" applyAlignment="1">
      <alignment horizontal="center" vertical="center" wrapText="1"/>
    </xf>
    <xf numFmtId="0" fontId="13" fillId="5" borderId="55"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39"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6" fillId="0" borderId="42" xfId="0" applyFont="1" applyBorder="1" applyAlignment="1">
      <alignment horizontal="center" vertical="center"/>
    </xf>
    <xf numFmtId="0" fontId="6" fillId="0" borderId="55" xfId="0" applyFont="1" applyBorder="1" applyAlignment="1">
      <alignment horizontal="center" vertical="center"/>
    </xf>
    <xf numFmtId="0" fontId="6" fillId="0" borderId="63" xfId="0" applyFont="1" applyBorder="1" applyAlignment="1">
      <alignment horizontal="center" vertical="center"/>
    </xf>
    <xf numFmtId="0" fontId="6" fillId="0" borderId="6" xfId="0" applyFont="1" applyBorder="1" applyAlignment="1">
      <alignment horizontal="center" vertical="center"/>
    </xf>
    <xf numFmtId="0" fontId="21" fillId="5" borderId="47" xfId="0" applyFont="1" applyFill="1" applyBorder="1" applyAlignment="1">
      <alignment horizontal="center" vertical="center" wrapText="1"/>
    </xf>
    <xf numFmtId="0" fontId="21" fillId="5" borderId="42" xfId="0" applyFont="1" applyFill="1" applyBorder="1" applyAlignment="1">
      <alignment horizontal="center" vertical="center" wrapText="1"/>
    </xf>
    <xf numFmtId="0" fontId="21" fillId="5" borderId="1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23" borderId="61" xfId="0" applyFont="1" applyFill="1" applyBorder="1" applyAlignment="1">
      <alignment horizontal="center" vertical="center"/>
    </xf>
    <xf numFmtId="0" fontId="13" fillId="5" borderId="62" xfId="0" applyFont="1" applyFill="1" applyBorder="1" applyAlignment="1">
      <alignment horizontal="center" vertical="center" wrapText="1"/>
    </xf>
    <xf numFmtId="0" fontId="21" fillId="5" borderId="5" xfId="0" applyFont="1" applyFill="1" applyBorder="1" applyAlignment="1">
      <alignment horizontal="center" vertical="center" wrapText="1"/>
    </xf>
    <xf numFmtId="0" fontId="21" fillId="5" borderId="63" xfId="0" applyFont="1" applyFill="1" applyBorder="1" applyAlignment="1">
      <alignment horizontal="center" vertical="center" wrapText="1"/>
    </xf>
    <xf numFmtId="0" fontId="21" fillId="5" borderId="67" xfId="0" applyFont="1" applyFill="1" applyBorder="1" applyAlignment="1">
      <alignment horizontal="center" vertical="center" wrapText="1"/>
    </xf>
    <xf numFmtId="0" fontId="13" fillId="23" borderId="45" xfId="0" applyFont="1" applyFill="1" applyBorder="1" applyAlignment="1">
      <alignment horizontal="center" vertical="center"/>
    </xf>
    <xf numFmtId="0" fontId="13" fillId="23" borderId="56" xfId="0" applyFont="1" applyFill="1" applyBorder="1" applyAlignment="1">
      <alignment horizontal="center" vertical="center"/>
    </xf>
    <xf numFmtId="0" fontId="13" fillId="23" borderId="5" xfId="0" applyFont="1" applyFill="1" applyBorder="1" applyAlignment="1">
      <alignment horizontal="center" vertical="center"/>
    </xf>
    <xf numFmtId="0" fontId="13" fillId="23" borderId="6"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15" fillId="5" borderId="63" xfId="0" applyFont="1" applyFill="1" applyBorder="1" applyAlignment="1">
      <alignment horizontal="center" vertical="center" wrapText="1"/>
    </xf>
    <xf numFmtId="0" fontId="15"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3" fillId="5" borderId="25"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26" xfId="0" applyFont="1" applyFill="1" applyBorder="1" applyAlignment="1">
      <alignment horizontal="center" vertical="center"/>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5" fillId="5" borderId="67" xfId="0" applyFont="1" applyFill="1" applyBorder="1" applyAlignment="1">
      <alignment horizontal="center" vertical="center" wrapText="1"/>
    </xf>
    <xf numFmtId="0" fontId="15" fillId="12" borderId="0" xfId="0" applyFont="1" applyFill="1" applyAlignment="1">
      <alignment horizontal="center" vertical="center" wrapText="1"/>
    </xf>
    <xf numFmtId="0" fontId="4" fillId="0" borderId="13" xfId="0" applyFont="1" applyBorder="1" applyAlignment="1">
      <alignment horizontal="center"/>
    </xf>
    <xf numFmtId="0" fontId="4" fillId="0" borderId="14" xfId="0" applyFont="1" applyBorder="1" applyAlignment="1">
      <alignment horizontal="center"/>
    </xf>
    <xf numFmtId="0" fontId="0" fillId="0" borderId="21" xfId="0" applyBorder="1" applyAlignment="1">
      <alignment horizontal="center" vertical="center" wrapText="1"/>
    </xf>
    <xf numFmtId="0" fontId="0" fillId="0" borderId="17" xfId="0" applyBorder="1" applyAlignment="1">
      <alignment horizontal="center" vertical="center" wrapText="1"/>
    </xf>
    <xf numFmtId="0" fontId="0" fillId="0" borderId="46" xfId="0" applyBorder="1" applyAlignment="1">
      <alignment horizontal="center" vertical="center" wrapText="1"/>
    </xf>
    <xf numFmtId="0" fontId="13" fillId="5" borderId="67"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3" fillId="5" borderId="63"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27" fillId="18" borderId="0" xfId="0" applyFont="1" applyFill="1" applyAlignment="1">
      <alignment horizontal="center" vertical="center" wrapText="1"/>
    </xf>
    <xf numFmtId="0" fontId="4" fillId="0" borderId="39" xfId="0" applyFont="1" applyBorder="1" applyAlignment="1">
      <alignment horizontal="center"/>
    </xf>
    <xf numFmtId="0" fontId="4" fillId="0" borderId="26" xfId="0" applyFont="1" applyBorder="1" applyAlignment="1">
      <alignment horizontal="center"/>
    </xf>
    <xf numFmtId="0" fontId="4" fillId="0" borderId="18" xfId="0" applyFont="1" applyBorder="1" applyAlignment="1">
      <alignment horizontal="center"/>
    </xf>
    <xf numFmtId="0" fontId="4"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4" fillId="7" borderId="61" xfId="0" applyNumberFormat="1" applyFont="1" applyFill="1" applyBorder="1" applyAlignment="1">
      <alignment horizontal="center" vertical="center" wrapText="1"/>
    </xf>
    <xf numFmtId="165" fontId="24" fillId="7" borderId="42" xfId="0" applyNumberFormat="1" applyFont="1" applyFill="1" applyBorder="1" applyAlignment="1">
      <alignment horizontal="center" vertical="center" wrapText="1"/>
    </xf>
    <xf numFmtId="165" fontId="24"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3" fillId="28" borderId="13" xfId="0" applyFont="1" applyFill="1" applyBorder="1" applyAlignment="1">
      <alignment horizontal="center" vertical="center" wrapText="1"/>
    </xf>
    <xf numFmtId="0" fontId="13" fillId="28" borderId="14"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0" borderId="56" xfId="0" applyFont="1" applyBorder="1" applyAlignment="1">
      <alignment horizontal="center" vertical="center" wrapText="1"/>
    </xf>
    <xf numFmtId="0" fontId="5" fillId="17" borderId="5" xfId="0" applyFont="1" applyFill="1" applyBorder="1" applyAlignment="1">
      <alignment horizontal="center" vertical="center"/>
    </xf>
    <xf numFmtId="0" fontId="5" fillId="17" borderId="6" xfId="0" applyFont="1" applyFill="1" applyBorder="1" applyAlignment="1">
      <alignment horizontal="center" vertical="center"/>
    </xf>
    <xf numFmtId="0" fontId="21" fillId="23" borderId="25" xfId="0" applyFont="1" applyFill="1" applyBorder="1" applyAlignment="1">
      <alignment horizontal="center"/>
    </xf>
    <xf numFmtId="0" fontId="21" fillId="23" borderId="26" xfId="0" applyFont="1" applyFill="1" applyBorder="1" applyAlignment="1">
      <alignment horizontal="center"/>
    </xf>
    <xf numFmtId="0" fontId="21" fillId="23" borderId="11" xfId="0" applyFont="1" applyFill="1" applyBorder="1" applyAlignment="1">
      <alignment horizontal="center"/>
    </xf>
    <xf numFmtId="0" fontId="21" fillId="23" borderId="14" xfId="0" applyFont="1" applyFill="1" applyBorder="1" applyAlignment="1">
      <alignment horizontal="center"/>
    </xf>
    <xf numFmtId="0" fontId="5" fillId="7" borderId="44" xfId="0" applyFont="1" applyFill="1" applyBorder="1" applyAlignment="1">
      <alignment horizontal="center" vertical="center"/>
    </xf>
    <xf numFmtId="0" fontId="5" fillId="0" borderId="61" xfId="0" applyFont="1" applyBorder="1" applyAlignment="1">
      <alignment horizontal="center" vertical="center" wrapText="1"/>
    </xf>
    <xf numFmtId="0" fontId="5" fillId="0" borderId="55" xfId="0" applyFont="1" applyBorder="1" applyAlignment="1">
      <alignment horizontal="center" vertical="center" wrapText="1"/>
    </xf>
    <xf numFmtId="0" fontId="15" fillId="5" borderId="56" xfId="0" applyFont="1" applyFill="1" applyBorder="1" applyAlignment="1">
      <alignment horizontal="center" vertical="center" wrapText="1"/>
    </xf>
    <xf numFmtId="0" fontId="15" fillId="5" borderId="48" xfId="0" applyFont="1" applyFill="1" applyBorder="1" applyAlignment="1">
      <alignment horizontal="center" vertical="center" wrapText="1"/>
    </xf>
    <xf numFmtId="0" fontId="15" fillId="5" borderId="49" xfId="0" applyFont="1" applyFill="1" applyBorder="1" applyAlignment="1">
      <alignment horizontal="center" vertical="center" wrapText="1"/>
    </xf>
    <xf numFmtId="0" fontId="5" fillId="7" borderId="8" xfId="0" applyFont="1" applyFill="1" applyBorder="1" applyAlignment="1">
      <alignment horizontal="center" vertical="center"/>
    </xf>
    <xf numFmtId="0" fontId="5" fillId="7" borderId="9"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3" fillId="5" borderId="78"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3" fillId="5" borderId="74"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13" fillId="5" borderId="5" xfId="0" applyFont="1" applyFill="1" applyBorder="1" applyAlignment="1">
      <alignment horizontal="center" vertical="center"/>
    </xf>
    <xf numFmtId="0" fontId="13" fillId="5" borderId="63" xfId="0" applyFont="1" applyFill="1" applyBorder="1" applyAlignment="1">
      <alignment horizontal="center" vertical="center"/>
    </xf>
    <xf numFmtId="0" fontId="13" fillId="5" borderId="6" xfId="0" applyFont="1" applyFill="1" applyBorder="1" applyAlignment="1">
      <alignment horizontal="center" vertical="center"/>
    </xf>
    <xf numFmtId="1" fontId="0" fillId="0" borderId="62" xfId="0" applyNumberFormat="1" applyBorder="1" applyAlignment="1">
      <alignment horizontal="center" vertical="center"/>
    </xf>
    <xf numFmtId="1" fontId="0" fillId="0" borderId="6" xfId="0" applyNumberFormat="1" applyBorder="1" applyAlignment="1">
      <alignment horizontal="center" vertical="center"/>
    </xf>
    <xf numFmtId="1" fontId="0" fillId="0" borderId="27" xfId="0" applyNumberFormat="1" applyBorder="1" applyAlignment="1">
      <alignment horizontal="center" vertical="center"/>
    </xf>
    <xf numFmtId="1" fontId="0" fillId="0" borderId="56" xfId="0" applyNumberFormat="1" applyBorder="1" applyAlignment="1">
      <alignment horizontal="center" vertical="center"/>
    </xf>
    <xf numFmtId="0" fontId="34" fillId="12" borderId="52" xfId="0" applyFont="1" applyFill="1" applyBorder="1" applyAlignment="1">
      <alignment horizontal="center" vertical="center"/>
    </xf>
    <xf numFmtId="0" fontId="34" fillId="12" borderId="71" xfId="0" applyFont="1" applyFill="1" applyBorder="1" applyAlignment="1">
      <alignment horizontal="center" vertical="center"/>
    </xf>
    <xf numFmtId="0" fontId="34" fillId="12" borderId="77" xfId="0" applyFont="1" applyFill="1" applyBorder="1" applyAlignment="1">
      <alignment horizontal="center" vertical="center"/>
    </xf>
    <xf numFmtId="0" fontId="5" fillId="17" borderId="45" xfId="0" applyFont="1" applyFill="1" applyBorder="1" applyAlignment="1">
      <alignment horizontal="center" vertical="center" wrapText="1"/>
    </xf>
    <xf numFmtId="0" fontId="5" fillId="17" borderId="56" xfId="0" applyFont="1" applyFill="1" applyBorder="1" applyAlignment="1">
      <alignment horizontal="center" vertical="center" wrapText="1"/>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5" fillId="7" borderId="20" xfId="0" applyFont="1" applyFill="1" applyBorder="1" applyAlignment="1">
      <alignment horizontal="center" vertical="center"/>
    </xf>
    <xf numFmtId="0" fontId="5" fillId="7" borderId="19" xfId="0" applyFont="1" applyFill="1" applyBorder="1" applyAlignment="1">
      <alignment horizontal="center" vertical="center"/>
    </xf>
    <xf numFmtId="0" fontId="15"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1" fillId="5" borderId="1"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40"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7" borderId="76" xfId="0" applyFont="1" applyFill="1" applyBorder="1" applyAlignment="1">
      <alignment horizontal="center" vertical="center"/>
    </xf>
    <xf numFmtId="0" fontId="5" fillId="7" borderId="77" xfId="0" applyFont="1" applyFill="1" applyBorder="1" applyAlignment="1">
      <alignment horizontal="center" vertical="center"/>
    </xf>
    <xf numFmtId="0" fontId="2" fillId="12" borderId="0" xfId="0" applyFont="1" applyFill="1" applyAlignment="1">
      <alignment horizontal="center" wrapText="1"/>
    </xf>
    <xf numFmtId="0" fontId="5" fillId="7" borderId="25" xfId="0" applyFont="1" applyFill="1" applyBorder="1" applyAlignment="1">
      <alignment horizontal="center" vertical="center"/>
    </xf>
    <xf numFmtId="0" fontId="5"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5" fillId="0" borderId="39" xfId="0" applyFont="1" applyBorder="1" applyAlignment="1">
      <alignment horizontal="center" vertical="center" wrapText="1"/>
    </xf>
    <xf numFmtId="0" fontId="5" fillId="0" borderId="26" xfId="0" applyFont="1" applyBorder="1" applyAlignment="1">
      <alignment horizontal="center" vertical="center" wrapText="1"/>
    </xf>
    <xf numFmtId="0" fontId="5" fillId="17" borderId="47" xfId="0" applyFont="1" applyFill="1" applyBorder="1" applyAlignment="1">
      <alignment horizontal="center" vertical="center" wrapText="1"/>
    </xf>
    <xf numFmtId="0" fontId="5" fillId="17" borderId="55" xfId="0" applyFont="1" applyFill="1" applyBorder="1" applyAlignment="1">
      <alignment horizontal="center" vertical="center" wrapText="1"/>
    </xf>
    <xf numFmtId="2" fontId="0" fillId="0" borderId="33" xfId="0" applyNumberFormat="1" applyBorder="1" applyAlignment="1">
      <alignment horizontal="center" vertical="center" wrapText="1"/>
    </xf>
    <xf numFmtId="2" fontId="0" fillId="0" borderId="0" xfId="0" applyNumberFormat="1" applyAlignment="1">
      <alignment horizontal="center" vertical="center" wrapText="1"/>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4" fillId="0" borderId="54" xfId="0" applyFont="1" applyBorder="1" applyAlignment="1">
      <alignment horizontal="center"/>
    </xf>
    <xf numFmtId="0" fontId="4" fillId="0" borderId="16" xfId="0" applyFont="1" applyBorder="1" applyAlignment="1">
      <alignment horizontal="center"/>
    </xf>
    <xf numFmtId="0" fontId="5" fillId="17" borderId="5" xfId="0" applyFont="1" applyFill="1" applyBorder="1" applyAlignment="1">
      <alignment horizontal="center" vertical="center" wrapText="1"/>
    </xf>
    <xf numFmtId="0" fontId="5" fillId="17" borderId="6" xfId="0" applyFon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3" fillId="12" borderId="42" xfId="0" applyFont="1" applyFill="1" applyBorder="1" applyAlignment="1">
      <alignment horizontal="center"/>
    </xf>
    <xf numFmtId="0" fontId="3" fillId="12" borderId="55" xfId="0" applyFont="1" applyFill="1" applyBorder="1" applyAlignment="1">
      <alignment horizontal="center"/>
    </xf>
    <xf numFmtId="0" fontId="15" fillId="5" borderId="29"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3" xfId="0" applyBorder="1" applyAlignment="1">
      <alignment horizontal="center" vertical="center" wrapText="1"/>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0" borderId="41" xfId="0" applyBorder="1" applyAlignment="1">
      <alignment horizontal="center" vertical="center" wrapText="1"/>
    </xf>
    <xf numFmtId="0" fontId="0" fillId="0" borderId="56" xfId="0" applyBorder="1" applyAlignment="1">
      <alignment horizontal="center" vertical="center" wrapText="1"/>
    </xf>
    <xf numFmtId="0" fontId="15" fillId="5" borderId="62" xfId="0" applyFont="1" applyFill="1" applyBorder="1" applyAlignment="1">
      <alignment horizontal="center" vertical="center" wrapText="1"/>
    </xf>
    <xf numFmtId="0" fontId="21" fillId="23" borderId="28" xfId="0" applyFont="1" applyFill="1" applyBorder="1" applyAlignment="1">
      <alignment horizontal="center" vertical="center"/>
    </xf>
    <xf numFmtId="0" fontId="21" fillId="23" borderId="18" xfId="0" applyFont="1" applyFill="1" applyBorder="1" applyAlignment="1">
      <alignment horizontal="center" vertical="center"/>
    </xf>
    <xf numFmtId="0" fontId="21" fillId="23" borderId="11" xfId="0" applyFont="1" applyFill="1" applyBorder="1" applyAlignment="1">
      <alignment horizontal="center" vertical="center"/>
    </xf>
    <xf numFmtId="0" fontId="21" fillId="23" borderId="4" xfId="0" applyFont="1" applyFill="1" applyBorder="1" applyAlignment="1">
      <alignment horizontal="center" vertical="center" wrapText="1"/>
    </xf>
    <xf numFmtId="0" fontId="21" fillId="23" borderId="58" xfId="0" applyFont="1" applyFill="1" applyBorder="1" applyAlignment="1">
      <alignment horizontal="center" vertical="center" wrapText="1"/>
    </xf>
    <xf numFmtId="0" fontId="21" fillId="23" borderId="10" xfId="0" applyFont="1" applyFill="1" applyBorder="1" applyAlignment="1">
      <alignment horizontal="center" vertical="center" wrapText="1"/>
    </xf>
    <xf numFmtId="0" fontId="21" fillId="23" borderId="78" xfId="0" applyFont="1" applyFill="1" applyBorder="1" applyAlignment="1">
      <alignment horizontal="center" vertical="center"/>
    </xf>
    <xf numFmtId="0" fontId="21" fillId="23" borderId="72" xfId="0" applyFont="1" applyFill="1" applyBorder="1" applyAlignment="1">
      <alignment horizontal="center" vertical="center"/>
    </xf>
    <xf numFmtId="0" fontId="21" fillId="23" borderId="76" xfId="0" applyFont="1" applyFill="1" applyBorder="1" applyAlignment="1">
      <alignment horizontal="center" vertical="center"/>
    </xf>
    <xf numFmtId="0" fontId="21" fillId="23" borderId="25" xfId="0" applyFont="1" applyFill="1" applyBorder="1" applyAlignment="1">
      <alignment horizontal="center" vertical="center"/>
    </xf>
    <xf numFmtId="0" fontId="15" fillId="5" borderId="35" xfId="0" applyFont="1" applyFill="1" applyBorder="1" applyAlignment="1">
      <alignment horizontal="center" vertical="center" wrapText="1"/>
    </xf>
    <xf numFmtId="0" fontId="15"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1" fillId="5" borderId="18"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15" fillId="5" borderId="52"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53"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3" fillId="12" borderId="61" xfId="0" applyFont="1" applyFill="1" applyBorder="1" applyAlignment="1">
      <alignment horizontal="center"/>
    </xf>
    <xf numFmtId="2" fontId="0" fillId="0" borderId="34" xfId="0" applyNumberFormat="1" applyBorder="1" applyAlignment="1">
      <alignment horizontal="center" vertical="center" wrapText="1"/>
    </xf>
    <xf numFmtId="2" fontId="0" fillId="0" borderId="35" xfId="0" applyNumberFormat="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lignment horizontal="center" vertical="center" wrapText="1"/>
    </xf>
    <xf numFmtId="0" fontId="15" fillId="5" borderId="15" xfId="0" applyFont="1" applyFill="1" applyBorder="1" applyAlignment="1">
      <alignment horizontal="center" vertical="center" wrapText="1"/>
    </xf>
    <xf numFmtId="0" fontId="15" fillId="5" borderId="54"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5" fillId="7" borderId="18"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61" xfId="0" applyFont="1" applyFill="1" applyBorder="1" applyAlignment="1">
      <alignment horizontal="center" vertical="center"/>
    </xf>
    <xf numFmtId="0" fontId="13" fillId="5" borderId="58" xfId="0" applyFont="1" applyFill="1" applyBorder="1" applyAlignment="1">
      <alignment horizontal="center" vertical="center" wrapText="1"/>
    </xf>
    <xf numFmtId="0" fontId="13" fillId="5" borderId="65" xfId="0" applyFont="1" applyFill="1" applyBorder="1" applyAlignment="1">
      <alignment horizontal="center" vertical="center" wrapText="1"/>
    </xf>
    <xf numFmtId="0" fontId="13" fillId="5" borderId="80" xfId="0" applyFont="1" applyFill="1" applyBorder="1" applyAlignment="1">
      <alignment horizontal="center" vertical="center" wrapText="1"/>
    </xf>
    <xf numFmtId="0" fontId="5" fillId="17" borderId="47" xfId="0" applyFont="1" applyFill="1" applyBorder="1" applyAlignment="1">
      <alignment horizontal="center" vertical="center"/>
    </xf>
    <xf numFmtId="0" fontId="5" fillId="17" borderId="55" xfId="0" applyFont="1" applyFill="1" applyBorder="1" applyAlignment="1">
      <alignment horizontal="center" vertical="center"/>
    </xf>
    <xf numFmtId="0" fontId="15" fillId="5" borderId="58" xfId="0" applyFont="1" applyFill="1" applyBorder="1" applyAlignment="1">
      <alignment horizontal="center" vertical="center" wrapText="1"/>
    </xf>
    <xf numFmtId="0" fontId="15" fillId="5" borderId="0" xfId="0" applyFont="1" applyFill="1" applyAlignment="1">
      <alignment horizontal="center" vertical="center" wrapText="1"/>
    </xf>
    <xf numFmtId="0" fontId="5" fillId="7" borderId="39" xfId="0" applyFont="1" applyFill="1" applyBorder="1" applyAlignment="1">
      <alignment horizontal="center" vertical="center"/>
    </xf>
    <xf numFmtId="0" fontId="5" fillId="7" borderId="62" xfId="0" applyFont="1" applyFill="1" applyBorder="1" applyAlignment="1">
      <alignment horizontal="center" vertical="center"/>
    </xf>
    <xf numFmtId="2" fontId="0" fillId="0" borderId="5" xfId="0" applyNumberFormat="1" applyBorder="1" applyAlignment="1">
      <alignment horizontal="center" vertical="center" wrapText="1"/>
    </xf>
    <xf numFmtId="2" fontId="0" fillId="0" borderId="63" xfId="0" applyNumberFormat="1" applyBorder="1" applyAlignment="1">
      <alignment horizontal="center" vertical="center" wrapText="1"/>
    </xf>
    <xf numFmtId="0" fontId="0" fillId="0" borderId="13" xfId="0" applyBorder="1" applyAlignment="1">
      <alignment horizontal="center" vertical="center" wrapText="1"/>
    </xf>
    <xf numFmtId="0" fontId="15" fillId="5" borderId="27" xfId="0" applyFont="1" applyFill="1" applyBorder="1" applyAlignment="1">
      <alignment horizontal="center" vertical="center" wrapText="1"/>
    </xf>
    <xf numFmtId="0" fontId="15" fillId="28" borderId="18" xfId="0" applyFont="1" applyFill="1" applyBorder="1" applyAlignment="1">
      <alignment horizontal="center" vertical="center" wrapText="1"/>
    </xf>
    <xf numFmtId="0" fontId="13" fillId="28" borderId="4" xfId="0" applyFont="1" applyFill="1" applyBorder="1" applyAlignment="1">
      <alignment horizontal="center" vertical="center"/>
    </xf>
    <xf numFmtId="0" fontId="13" fillId="28" borderId="10" xfId="0" applyFont="1" applyFill="1" applyBorder="1" applyAlignment="1">
      <alignment horizontal="center" vertical="center"/>
    </xf>
    <xf numFmtId="0" fontId="21" fillId="23" borderId="39" xfId="0" applyFont="1" applyFill="1" applyBorder="1" applyAlignment="1">
      <alignment horizontal="center"/>
    </xf>
    <xf numFmtId="0" fontId="21" fillId="23" borderId="48" xfId="0" applyFont="1" applyFill="1" applyBorder="1" applyAlignment="1">
      <alignment horizontal="center" vertical="center"/>
    </xf>
    <xf numFmtId="0" fontId="21" fillId="23" borderId="49" xfId="0" applyFont="1" applyFill="1" applyBorder="1" applyAlignment="1">
      <alignment horizontal="center" vertical="center"/>
    </xf>
    <xf numFmtId="0" fontId="21" fillId="23" borderId="50" xfId="0" applyFont="1" applyFill="1" applyBorder="1" applyAlignment="1">
      <alignment horizontal="center" vertical="center"/>
    </xf>
    <xf numFmtId="0" fontId="13" fillId="5" borderId="33"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6" fillId="6" borderId="44" xfId="0" applyFont="1" applyFill="1" applyBorder="1" applyAlignment="1">
      <alignment horizontal="center" vertical="center"/>
    </xf>
    <xf numFmtId="0" fontId="6" fillId="6" borderId="40" xfId="0" applyFont="1" applyFill="1" applyBorder="1" applyAlignment="1">
      <alignment horizontal="center" vertical="center"/>
    </xf>
    <xf numFmtId="0" fontId="4" fillId="12" borderId="35" xfId="0" applyFont="1" applyFill="1" applyBorder="1" applyAlignment="1">
      <alignment horizontal="center" vertical="center" wrapText="1"/>
    </xf>
    <xf numFmtId="0" fontId="6"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39" fillId="12" borderId="0" xfId="0" applyFont="1" applyFill="1" applyAlignment="1">
      <alignment horizontal="center" wrapText="1"/>
    </xf>
    <xf numFmtId="0" fontId="0" fillId="12" borderId="0" xfId="0" applyFill="1" applyAlignment="1">
      <alignment horizontal="center" wrapText="1"/>
    </xf>
    <xf numFmtId="0" fontId="2"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1" fillId="5" borderId="11" xfId="0" applyFont="1" applyFill="1" applyBorder="1" applyAlignment="1">
      <alignment horizontal="center" vertical="center"/>
    </xf>
    <xf numFmtId="0" fontId="21" fillId="5" borderId="13" xfId="0" applyFont="1" applyFill="1" applyBorder="1" applyAlignment="1">
      <alignment horizontal="center" vertical="center"/>
    </xf>
    <xf numFmtId="0" fontId="21" fillId="5" borderId="28" xfId="0" applyFont="1" applyFill="1" applyBorder="1" applyAlignment="1">
      <alignment horizontal="center" vertical="center"/>
    </xf>
    <xf numFmtId="0" fontId="21" fillId="5" borderId="18" xfId="0" applyFont="1" applyFill="1" applyBorder="1" applyAlignment="1">
      <alignment horizontal="center" vertical="center"/>
    </xf>
    <xf numFmtId="0" fontId="21" fillId="5" borderId="25" xfId="0" applyFont="1" applyFill="1" applyBorder="1" applyAlignment="1">
      <alignment horizontal="center" vertical="center"/>
    </xf>
    <xf numFmtId="0" fontId="21" fillId="5" borderId="39" xfId="0" applyFont="1" applyFill="1" applyBorder="1" applyAlignment="1">
      <alignment horizontal="center" vertical="center"/>
    </xf>
    <xf numFmtId="0" fontId="21" fillId="5" borderId="2" xfId="0" applyFont="1" applyFill="1" applyBorder="1" applyAlignment="1">
      <alignment horizontal="center" vertical="center"/>
    </xf>
    <xf numFmtId="165" fontId="6" fillId="3" borderId="39" xfId="0" applyNumberFormat="1" applyFont="1" applyFill="1" applyBorder="1" applyAlignment="1">
      <alignment horizontal="center" vertical="center"/>
    </xf>
    <xf numFmtId="165" fontId="6" fillId="3" borderId="26" xfId="0" applyNumberFormat="1" applyFont="1" applyFill="1" applyBorder="1" applyAlignment="1">
      <alignment horizontal="center" vertical="center"/>
    </xf>
    <xf numFmtId="165" fontId="6" fillId="3" borderId="18" xfId="0" applyNumberFormat="1" applyFont="1" applyFill="1" applyBorder="1" applyAlignment="1">
      <alignment horizontal="center" vertical="center"/>
    </xf>
    <xf numFmtId="165" fontId="6" fillId="3" borderId="29" xfId="0" applyNumberFormat="1" applyFont="1" applyFill="1" applyBorder="1" applyAlignment="1">
      <alignment horizontal="center" vertical="center"/>
    </xf>
    <xf numFmtId="165" fontId="6" fillId="3" borderId="13" xfId="0" applyNumberFormat="1" applyFont="1" applyFill="1" applyBorder="1" applyAlignment="1">
      <alignment horizontal="center" vertical="center"/>
    </xf>
    <xf numFmtId="165" fontId="6" fillId="3" borderId="14" xfId="0" applyNumberFormat="1" applyFont="1" applyFill="1" applyBorder="1" applyAlignment="1">
      <alignment horizontal="center" vertical="center"/>
    </xf>
    <xf numFmtId="0" fontId="6" fillId="8" borderId="24" xfId="0" applyFont="1" applyFill="1" applyBorder="1" applyAlignment="1">
      <alignment horizontal="center"/>
    </xf>
    <xf numFmtId="0" fontId="6" fillId="24" borderId="24" xfId="0" applyFont="1" applyFill="1" applyBorder="1" applyAlignment="1">
      <alignment horizontal="center" vertical="center"/>
    </xf>
    <xf numFmtId="0" fontId="6" fillId="9" borderId="24" xfId="0" applyFont="1" applyFill="1" applyBorder="1" applyAlignment="1">
      <alignment horizontal="center"/>
    </xf>
    <xf numFmtId="0" fontId="4" fillId="8" borderId="24" xfId="0" applyFont="1" applyFill="1" applyBorder="1" applyAlignment="1">
      <alignment horizontal="center" vertical="center" wrapText="1"/>
    </xf>
    <xf numFmtId="0" fontId="4" fillId="8" borderId="18" xfId="0" applyFont="1" applyFill="1" applyBorder="1" applyAlignment="1">
      <alignment horizontal="center" vertical="center" wrapText="1"/>
    </xf>
    <xf numFmtId="0" fontId="13" fillId="28" borderId="1" xfId="0" applyFont="1" applyFill="1" applyBorder="1" applyAlignment="1">
      <alignment horizontal="center" vertical="center"/>
    </xf>
    <xf numFmtId="0" fontId="13" fillId="28" borderId="2" xfId="0" applyFont="1" applyFill="1" applyBorder="1" applyAlignment="1">
      <alignment horizontal="center" vertical="center"/>
    </xf>
    <xf numFmtId="0" fontId="13" fillId="28" borderId="3" xfId="0" applyFont="1" applyFill="1" applyBorder="1" applyAlignment="1">
      <alignment horizontal="center" vertical="center"/>
    </xf>
    <xf numFmtId="0" fontId="13" fillId="28" borderId="30" xfId="0" applyFont="1" applyFill="1" applyBorder="1" applyAlignment="1">
      <alignment horizontal="center" vertical="center"/>
    </xf>
    <xf numFmtId="0" fontId="13" fillId="28" borderId="31" xfId="0" applyFont="1" applyFill="1" applyBorder="1" applyAlignment="1">
      <alignment horizontal="center" vertical="center"/>
    </xf>
    <xf numFmtId="0" fontId="13" fillId="28" borderId="32" xfId="0" applyFont="1" applyFill="1" applyBorder="1" applyAlignment="1">
      <alignment horizontal="center" vertical="center"/>
    </xf>
    <xf numFmtId="0" fontId="13" fillId="28" borderId="34" xfId="0" applyFont="1" applyFill="1" applyBorder="1" applyAlignment="1">
      <alignment horizontal="center" vertical="center"/>
    </xf>
    <xf numFmtId="0" fontId="13" fillId="28" borderId="35" xfId="0" applyFont="1" applyFill="1" applyBorder="1" applyAlignment="1">
      <alignment horizontal="center" vertical="center"/>
    </xf>
    <xf numFmtId="0" fontId="13" fillId="28" borderId="36" xfId="0" applyFont="1" applyFill="1" applyBorder="1" applyAlignment="1">
      <alignment horizontal="center" vertical="center"/>
    </xf>
    <xf numFmtId="0" fontId="3" fillId="22" borderId="48" xfId="0" applyFont="1" applyFill="1" applyBorder="1" applyAlignment="1">
      <alignment horizontal="center" vertical="center" wrapText="1"/>
    </xf>
    <xf numFmtId="0" fontId="3" fillId="22" borderId="49" xfId="0" applyFont="1" applyFill="1" applyBorder="1" applyAlignment="1">
      <alignment horizontal="center" vertical="center" wrapText="1"/>
    </xf>
    <xf numFmtId="0" fontId="3" fillId="22" borderId="50" xfId="0" applyFont="1" applyFill="1" applyBorder="1" applyAlignment="1">
      <alignment horizontal="center" vertical="center" wrapText="1"/>
    </xf>
    <xf numFmtId="0" fontId="6" fillId="2" borderId="25"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26" xfId="0" applyFont="1" applyFill="1" applyBorder="1" applyAlignment="1">
      <alignment horizontal="center" vertical="center"/>
    </xf>
    <xf numFmtId="0" fontId="4" fillId="8" borderId="48" xfId="0" applyFont="1" applyFill="1" applyBorder="1" applyAlignment="1">
      <alignment horizontal="center" vertical="center" wrapText="1"/>
    </xf>
    <xf numFmtId="0" fontId="4" fillId="8" borderId="49" xfId="0" applyFont="1" applyFill="1" applyBorder="1" applyAlignment="1">
      <alignment horizontal="center" vertical="center" wrapText="1"/>
    </xf>
    <xf numFmtId="0" fontId="4" fillId="8" borderId="79"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10" borderId="14" xfId="0" applyFont="1" applyFill="1" applyBorder="1" applyAlignment="1">
      <alignment horizontal="center" vertical="center" wrapText="1"/>
    </xf>
    <xf numFmtId="0" fontId="3" fillId="10" borderId="18" xfId="0" applyFont="1" applyFill="1" applyBorder="1" applyAlignment="1">
      <alignment horizontal="center" vertical="center" wrapText="1"/>
    </xf>
    <xf numFmtId="0" fontId="3" fillId="10" borderId="13"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6" fillId="10" borderId="5" xfId="0" applyFont="1" applyFill="1" applyBorder="1" applyAlignment="1">
      <alignment horizontal="center" vertical="center"/>
    </xf>
    <xf numFmtId="0" fontId="6" fillId="10" borderId="63" xfId="0" applyFont="1" applyFill="1" applyBorder="1" applyAlignment="1">
      <alignment horizontal="center" vertical="center"/>
    </xf>
    <xf numFmtId="0" fontId="6" fillId="10" borderId="6" xfId="0" applyFont="1" applyFill="1" applyBorder="1" applyAlignment="1">
      <alignment horizontal="center" vertical="center"/>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27" xfId="0" applyFont="1" applyFill="1" applyBorder="1" applyAlignment="1">
      <alignment horizontal="center"/>
    </xf>
    <xf numFmtId="0" fontId="15" fillId="5" borderId="41" xfId="0" applyFont="1" applyFill="1" applyBorder="1" applyAlignment="1">
      <alignment horizontal="center"/>
    </xf>
    <xf numFmtId="0" fontId="15" fillId="5" borderId="38" xfId="0" applyFont="1" applyFill="1" applyBorder="1" applyAlignment="1">
      <alignment horizontal="center"/>
    </xf>
    <xf numFmtId="0" fontId="29" fillId="5" borderId="17" xfId="0" applyFont="1" applyFill="1" applyBorder="1" applyAlignment="1">
      <alignment horizontal="center"/>
    </xf>
    <xf numFmtId="0" fontId="15" fillId="5" borderId="0" xfId="0" applyFont="1" applyFill="1" applyAlignment="1">
      <alignment horizontal="center"/>
    </xf>
    <xf numFmtId="0" fontId="32" fillId="5" borderId="17" xfId="0" applyFont="1" applyFill="1" applyBorder="1" applyAlignment="1">
      <alignment horizontal="center" wrapText="1"/>
    </xf>
    <xf numFmtId="0" fontId="31" fillId="5" borderId="0" xfId="0" applyFont="1" applyFill="1" applyAlignment="1">
      <alignment horizontal="center" vertical="center" wrapText="1"/>
    </xf>
    <xf numFmtId="0" fontId="15"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00000000-0005-0000-0000-000000000000}"/>
    <cellStyle name="Comma 2 2" xfId="5"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6" xr:uid="{00000000-0005-0000-0000-000005000000}"/>
    <cellStyle name="Comma 3" xfId="7" xr:uid="{00000000-0005-0000-0000-000006000000}"/>
    <cellStyle name="Comma 3 2" xfId="8"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9" xr:uid="{00000000-0005-0000-0000-00000E000000}"/>
    <cellStyle name="Comma 4 2" xfId="20" xr:uid="{00000000-0005-0000-0000-00000F000000}"/>
    <cellStyle name="Comma 4 2 2" xfId="31" xr:uid="{00000000-0005-0000-0000-000010000000}"/>
    <cellStyle name="Comma 4 3" xfId="26" xr:uid="{00000000-0005-0000-0000-000011000000}"/>
    <cellStyle name="Comma 5" xfId="3" xr:uid="{00000000-0005-0000-0000-000012000000}"/>
    <cellStyle name="Comma 5 2" xfId="16" xr:uid="{00000000-0005-0000-0000-000013000000}"/>
    <cellStyle name="Comma 5 2 2" xfId="27" xr:uid="{00000000-0005-0000-0000-000014000000}"/>
    <cellStyle name="Comma 5 3" xfId="22" xr:uid="{00000000-0005-0000-0000-000015000000}"/>
    <cellStyle name="Neutral" xfId="21" xr:uid="{00000000-0005-0000-0000-000016000000}"/>
    <cellStyle name="Normal" xfId="0" builtinId="0"/>
    <cellStyle name="Normal 2" xfId="1"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2" xr:uid="{00000000-0005-0000-0000-00001F000000}"/>
    <cellStyle name="Per cent" xfId="32" xr:uid="{00000000-0005-0000-0000-000020000000}"/>
  </cellStyles>
  <dxfs count="216">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32859279152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3285927915285"/>
        </patternFill>
      </fill>
    </dxf>
    <dxf>
      <font>
        <color theme="0"/>
      </font>
      <fill>
        <patternFill>
          <bgColor rgb="FFC00000"/>
        </patternFill>
      </fill>
    </dxf>
    <dxf>
      <fill>
        <patternFill>
          <bgColor theme="5" tint="0.599932859279152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color theme="1"/>
      </font>
      <fill>
        <patternFill>
          <bgColor rgb="FFFFC000"/>
        </patternFill>
      </fill>
    </dxf>
    <dxf>
      <font>
        <b/>
        <color theme="0"/>
      </font>
      <fill>
        <patternFill>
          <bgColor rgb="FFC00000"/>
        </patternFill>
      </fill>
    </dxf>
    <dxf>
      <font>
        <b/>
        <color theme="0"/>
      </font>
      <fill>
        <patternFill>
          <bgColor rgb="FFC00000"/>
        </patternFill>
      </fill>
    </dxf>
    <dxf>
      <fill>
        <patternFill>
          <bgColor rgb="FFFFC000"/>
        </patternFill>
      </fill>
    </dxf>
    <dxf>
      <font>
        <color theme="0"/>
      </font>
      <fill>
        <patternFill>
          <bgColor rgb="FFC00000"/>
        </patternFill>
      </fill>
    </dxf>
    <dxf>
      <font>
        <b/>
        <color theme="0"/>
      </font>
      <fill>
        <patternFill>
          <bgColor rgb="FFC00000"/>
        </patternFill>
      </fill>
    </dxf>
    <dxf>
      <fill>
        <patternFill>
          <bgColor rgb="FFFFC000"/>
        </patternFill>
      </fill>
    </dxf>
    <dxf>
      <font>
        <b/>
        <color theme="0"/>
      </font>
      <fill>
        <patternFill>
          <bgColor rgb="FFC00000"/>
        </patternFill>
      </fill>
    </dxf>
    <dxf>
      <font>
        <b/>
        <color theme="0"/>
      </font>
      <fill>
        <patternFill>
          <bgColor rgb="FFC00000"/>
        </patternFill>
      </fill>
    </dxf>
    <dxf>
      <font>
        <b/>
      </font>
      <fill>
        <patternFill>
          <bgColor theme="9" tint="0.39994506668294322"/>
        </patternFill>
      </fill>
    </dxf>
    <dxf>
      <font>
        <b/>
        <color theme="0"/>
      </font>
      <fill>
        <patternFill>
          <bgColor rgb="FFC00000"/>
        </patternFill>
      </fill>
    </dxf>
    <dxf>
      <font>
        <b/>
      </font>
      <fill>
        <patternFill>
          <bgColor rgb="FFFFC000"/>
        </patternFill>
      </fill>
    </dxf>
    <dxf>
      <font>
        <b/>
      </font>
      <fill>
        <patternFill>
          <bgColor theme="9" tint="0.39994506668294322"/>
        </patternFill>
      </fill>
    </dxf>
    <dxf>
      <font>
        <b/>
        <color theme="0"/>
      </font>
      <fill>
        <patternFill>
          <bgColor rgb="FFC00000"/>
        </patternFill>
      </fill>
    </dxf>
    <dxf>
      <font>
        <b/>
      </font>
      <fill>
        <patternFill>
          <bgColor rgb="FFFFC000"/>
        </patternFill>
      </fill>
    </dxf>
    <dxf>
      <font>
        <b/>
      </font>
      <fill>
        <patternFill>
          <bgColor theme="9" tint="0.39994506668294322"/>
        </patternFill>
      </fill>
    </dxf>
    <dxf>
      <font>
        <b/>
        <color theme="0"/>
      </font>
      <fill>
        <patternFill>
          <bgColor rgb="FFC00000"/>
        </patternFill>
      </fill>
    </dxf>
    <dxf>
      <font>
        <b/>
      </font>
      <fill>
        <patternFill>
          <bgColor rgb="FFFFC000"/>
        </patternFill>
      </fill>
    </dxf>
    <dxf>
      <font>
        <b/>
        <color theme="1"/>
      </font>
      <fill>
        <patternFill>
          <bgColor theme="9" tint="0.39994506668294322"/>
        </patternFill>
      </fill>
    </dxf>
    <dxf>
      <fill>
        <patternFill>
          <bgColor rgb="FFFFC000"/>
        </patternFill>
      </fill>
    </dxf>
    <dxf>
      <font>
        <b/>
        <color theme="0"/>
      </font>
      <fill>
        <patternFill>
          <bgColor rgb="FFC00000"/>
        </patternFill>
      </fill>
    </dxf>
    <dxf>
      <font>
        <b/>
        <color theme="1"/>
      </font>
      <fill>
        <patternFill>
          <bgColor theme="9" tint="0.39994506668294322"/>
        </patternFill>
      </fill>
    </dxf>
    <dxf>
      <font>
        <b/>
        <color theme="0"/>
      </font>
      <fill>
        <patternFill>
          <bgColor rgb="FFC00000"/>
        </patternFill>
      </fill>
    </dxf>
    <dxf>
      <font>
        <b/>
        <color theme="1"/>
      </font>
      <fill>
        <patternFill>
          <bgColor theme="9" tint="0.39994506668294322"/>
        </patternFill>
      </fill>
    </dxf>
    <dxf>
      <font>
        <b/>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color theme="1"/>
      </font>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c:spPr>
          <c:invertIfNegative val="1"/>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2.5464519999999999</c:v>
                </c:pt>
                <c:pt idx="1">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0-80F2-44B6-8F8F-DA93B370D32F}"/>
            </c:ext>
          </c:extLst>
        </c:ser>
        <c:ser>
          <c:idx val="1"/>
          <c:order val="1"/>
          <c:tx>
            <c:strRef>
              <c:f>'8. Headline Results'!$D$35</c:f>
              <c:strCache>
                <c:ptCount val="1"/>
                <c:pt idx="0">
                  <c:v>Provision</c:v>
                </c:pt>
              </c:strCache>
            </c:strRef>
          </c:tx>
          <c:spPr>
            <a:solidFill>
              <a:schemeClr val="accent1">
                <a:tint val="77000"/>
              </a:schemeClr>
            </a:solidFill>
            <a:ln>
              <a:noFill/>
            </a:ln>
          </c:spPr>
          <c:invertIfNegative val="1"/>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3.8064391332</c:v>
                </c:pt>
                <c:pt idx="1">
                  <c:v>0.21229999999999999</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1-80F2-44B6-8F8F-DA93B370D32F}"/>
            </c:ext>
          </c:extLst>
        </c:ser>
        <c:dLbls>
          <c:showLegendKey val="0"/>
          <c:showVal val="0"/>
          <c:showCatName val="0"/>
          <c:showSerName val="0"/>
          <c:showPercent val="0"/>
          <c:showBubbleSize val="0"/>
        </c:dLbls>
        <c:gapWidth val="219"/>
        <c:overlap val="-27"/>
        <c:axId val="48650112"/>
        <c:axId val="48672768"/>
      </c:barChart>
      <c:catAx>
        <c:axId val="48650112"/>
        <c:scaling>
          <c:orientation val="minMax"/>
        </c:scaling>
        <c:delete val="0"/>
        <c:axPos val="b"/>
        <c:numFmt formatCode="General" sourceLinked="1"/>
        <c:majorTickMark val="none"/>
        <c:minorTickMark val="none"/>
        <c:tickLblPos val="nextTo"/>
        <c:spPr>
          <a:ln w="9525">
            <a:solidFill>
              <a:schemeClr val="tx1">
                <a:lumMod val="15000"/>
                <a:lumOff val="85000"/>
              </a:schemeClr>
            </a:solidFill>
          </a:ln>
        </c:spPr>
        <c:txPr>
          <a:bodyPr rot="-60000000" vert="horz" anchor="ctr" anchorCtr="1"/>
          <a:lstStyle/>
          <a:p>
            <a:pPr>
              <a:defRPr sz="1400" b="0" i="0" u="none">
                <a:solidFill>
                  <a:schemeClr val="tx1">
                    <a:lumMod val="65000"/>
                    <a:lumOff val="35000"/>
                  </a:schemeClr>
                </a:solidFill>
                <a:latin typeface="+mn-lt"/>
                <a:ea typeface="+mn-lt"/>
                <a:cs typeface="+mn-lt"/>
              </a:defRPr>
            </a:pPr>
            <a:endParaRPr lang="en-US"/>
          </a:p>
        </c:txPr>
        <c:crossAx val="48672768"/>
        <c:crosses val="autoZero"/>
        <c:auto val="1"/>
        <c:lblAlgn val="ctr"/>
        <c:lblOffset val="100"/>
        <c:noMultiLvlLbl val="0"/>
      </c:catAx>
      <c:valAx>
        <c:axId val="48672768"/>
        <c:scaling>
          <c:orientation val="minMax"/>
        </c:scaling>
        <c:delete val="0"/>
        <c:axPos val="l"/>
        <c:majorGridlines>
          <c:spPr>
            <a:ln w="9525">
              <a:solidFill>
                <a:schemeClr val="tx1">
                  <a:lumMod val="15000"/>
                  <a:lumOff val="85000"/>
                </a:schemeClr>
              </a:solidFill>
            </a:ln>
          </c:spPr>
        </c:majorGridlines>
        <c:numFmt formatCode="0.00" sourceLinked="1"/>
        <c:majorTickMark val="none"/>
        <c:minorTickMark val="none"/>
        <c:tickLblPos val="nextTo"/>
        <c:spPr>
          <a:ln>
            <a:noFill/>
          </a:ln>
        </c:spPr>
        <c:txPr>
          <a:bodyPr rot="-60000000" vert="horz" anchor="ctr" anchorCtr="1"/>
          <a:lstStyle/>
          <a:p>
            <a:pPr>
              <a:defRPr sz="1200" b="0" i="0" u="none">
                <a:solidFill>
                  <a:schemeClr val="tx1">
                    <a:lumMod val="65000"/>
                    <a:lumOff val="35000"/>
                  </a:schemeClr>
                </a:solidFill>
                <a:latin typeface="+mn-lt"/>
                <a:ea typeface="+mn-lt"/>
                <a:cs typeface="+mn-lt"/>
              </a:defRPr>
            </a:pPr>
            <a:endParaRPr lang="en-US"/>
          </a:p>
        </c:txPr>
        <c:crossAx val="48650112"/>
        <c:crosses val="autoZero"/>
        <c:crossBetween val="between"/>
      </c:valAx>
    </c:plotArea>
    <c:legend>
      <c:legendPos val="b"/>
      <c:overlay val="0"/>
      <c:spPr>
        <a:noFill/>
      </c:spPr>
      <c:txPr>
        <a:bodyPr rot="0" vert="horz" anchor="ctr" anchorCtr="1"/>
        <a:lstStyle/>
        <a:p>
          <a:pPr>
            <a:defRPr sz="1400" b="0" i="0" u="none">
              <a:solidFill>
                <a:schemeClr val="tx1">
                  <a:lumMod val="65000"/>
                  <a:lumOff val="35000"/>
                </a:schemeClr>
              </a:solidFill>
              <a:latin typeface="+mn-lt"/>
              <a:ea typeface="+mn-lt"/>
              <a:cs typeface="+mn-lt"/>
            </a:defRPr>
          </a:pPr>
          <a:endParaRPr lang="en-US"/>
        </a:p>
      </c:txPr>
    </c:legend>
    <c:plotVisOnly val="1"/>
    <c:dispBlanksAs val="zero"/>
    <c:showDLblsOverMax val="1"/>
  </c:chart>
  <c:spPr>
    <a:solidFill>
      <a:schemeClr val="bg1"/>
    </a:solidFill>
    <a:ln w="9525">
      <a:solidFill>
        <a:schemeClr val="tx1">
          <a:lumMod val="15000"/>
          <a:lumOff val="85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00000000-0008-0000-0000-000002000000}"/>
            </a:ext>
          </a:extLst>
        </xdr:cNvPr>
        <xdr:cNvSpPr>
          <a:spLocks noGrp="1"/>
        </xdr:cNvSpPr>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anchor="t">
          <a:spAutoFit/>
        </a:bodyPr>
        <a:lstStyle/>
        <a:p>
          <a:r>
            <a:rPr sz="1100" b="0" i="0">
              <a:solidFill>
                <a:sysClr val="windowText" lastClr="000000"/>
              </a:solidFill>
              <a:latin typeface="+mn-lt"/>
              <a:ea typeface="+mn-lt"/>
              <a:cs typeface="+mn-lt"/>
            </a:rPr>
            <a:t>©</a:t>
          </a:r>
          <a:r>
            <a:rPr sz="1100">
              <a:solidFill>
                <a:sysClr val="windowText" lastClr="000000"/>
              </a:solidFill>
            </a:rPr>
            <a:t> </a:t>
          </a:r>
          <a:r>
            <a:rPr sz="1100" b="0" i="0">
              <a:solidFill>
                <a:schemeClr val="tx1"/>
              </a:solidFill>
              <a:latin typeface="+mn-lt"/>
              <a:ea typeface="+mn-lt"/>
              <a:cs typeface="+mn-lt"/>
            </a:rPr>
            <a:t> Natural England/Margaret Nieke 2012</a:t>
          </a:r>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3" name="/xl/media/image.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11">
  <autoFilter ref="A1:A11" xr:uid="{00000000-0009-0000-0100-000001000000}"/>
  <tableColumns count="1">
    <tableColumn id="1" xr3:uid="{00000000-0010-0000-0000-000001000000}" name="Broadhabitattyp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C1:C11">
  <autoFilter ref="C1:C11" xr:uid="{00000000-0009-0000-0100-000002000000}"/>
  <tableColumns count="1">
    <tableColumn id="1" xr3:uid="{00000000-0010-0000-0100-000001000000}" name="Cropland"/>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E1:E6">
  <autoFilter ref="E1:E6" xr:uid="{00000000-0009-0000-0100-000003000000}"/>
  <tableColumns count="1">
    <tableColumn id="1" xr3:uid="{00000000-0010-0000-0200-000001000000}" name="Grassland"/>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G1:G10">
  <autoFilter ref="G1:G10" xr:uid="{00000000-0009-0000-0100-000004000000}"/>
  <tableColumns count="1">
    <tableColumn id="1" xr3:uid="{00000000-0010-0000-0300-000001000000}" name="Heathlandandshrub"/>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I1:I4">
  <autoFilter ref="I1:I4" xr:uid="{00000000-0009-0000-0100-000005000000}"/>
  <tableColumns count="1">
    <tableColumn id="1" xr3:uid="{00000000-0010-0000-0400-000001000000}" name="Intertidalhardstructur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K1:K10">
  <autoFilter ref="K1:K10" xr:uid="{00000000-0009-0000-0100-000006000000}"/>
  <tableColumns count="1">
    <tableColumn id="1" xr3:uid="{00000000-0010-0000-0500-000001000000}" name="Intertidalsediment"/>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1:M4">
  <autoFilter ref="M1:M4" xr:uid="{00000000-0009-0000-0100-000007000000}"/>
  <tableColumns count="1">
    <tableColumn id="1" xr3:uid="{00000000-0010-0000-0600-000001000000}" name="Lakes"/>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O1:O4">
  <autoFilter ref="O1:O4" xr:uid="{00000000-0009-0000-0100-000008000000}"/>
  <tableColumns count="1">
    <tableColumn id="1" xr3:uid="{00000000-0010-0000-0700-000001000000}"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Q1:Q21">
  <autoFilter ref="Q1:Q21" xr:uid="{00000000-0009-0000-0100-000009000000}"/>
  <tableColumns count="1">
    <tableColumn id="1" xr3:uid="{00000000-0010-0000-0800-000001000000}" name="Urban"/>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S1:S5">
  <autoFilter ref="S1:S5" xr:uid="{00000000-0009-0000-0100-00000A000000}"/>
  <tableColumns count="1">
    <tableColumn id="1" xr3:uid="{00000000-0010-0000-0900-000001000000}" name="Woodlandandforest"/>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U1:U10">
  <autoFilter ref="U1:U10" xr:uid="{00000000-0009-0000-0100-00000B000000}"/>
  <tableColumns count="1">
    <tableColumn id="1" xr3:uid="{00000000-0010-0000-0A00-000001000000}" name="HedgerowsandLinesoftrees"/>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W1:W5">
  <autoFilter ref="W1:W5" xr:uid="{00000000-0009-0000-0100-00000C000000}"/>
  <tableColumns count="1">
    <tableColumn id="1" xr3:uid="{00000000-0010-0000-0B00-000001000000}" name="Lineoftrees"/>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11">
  <autoFilter ref="Y1:Y11" xr:uid="{00000000-0009-0000-0100-00000D000000}"/>
  <tableColumns count="1">
    <tableColumn id="1" xr3:uid="{00000000-0010-0000-0C00-000001000000}" name="Watercourses"/>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15" displayName="Table15" ref="AA1:AA2">
  <autoFilter ref="AA1:AA2" xr:uid="{00000000-0009-0000-0100-00000F000000}"/>
  <tableColumns count="1">
    <tableColumn id="1" xr3:uid="{00000000-0010-0000-0D00-000001000000}" name="Coastalsaltmarsh"/>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E000000}" name="Table1515" displayName="Table1515" ref="AC1:AC3">
  <autoFilter ref="AC1:AC3" xr:uid="{00000000-0009-0000-0100-00000E000000}"/>
  <tableColumns count="1">
    <tableColumn id="1" xr3:uid="{00000000-0010-0000-0E00-000001000000}" name="Individualtrees"/>
  </tableColumns>
  <tableStyleInfo name="TableStyleLight8" showFirstColumn="0" showLastColumn="0" showRowStripes="1" showColumnStripes="0"/>
</table>
</file>

<file path=xl/theme/theme1.xml><?xml version="1.0" encoding="utf-8"?>
<a:theme xmlns:a="http://schemas.openxmlformats.org/drawingml/2006/main" name="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2013 - 2022">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AD94"/>
  <sheetViews>
    <sheetView tabSelected="1" workbookViewId="0"/>
  </sheetViews>
  <sheetFormatPr defaultColWidth="0" defaultRowHeight="15"/>
  <cols>
    <col min="1" max="1" width="3.42578125" customWidth="1"/>
    <col min="2" max="6" width="8.7109375" customWidth="1"/>
    <col min="7" max="7" width="11.85546875" customWidth="1"/>
    <col min="8" max="8" width="8.7109375" customWidth="1"/>
    <col min="9" max="9" width="12.7109375" customWidth="1"/>
    <col min="10" max="10" width="14.85546875" customWidth="1"/>
    <col min="11" max="18" width="8.7109375" customWidth="1"/>
    <col min="19" max="19" width="3.7109375" customWidth="1"/>
    <col min="20" max="30" width="8.7109375" hidden="1" customWidth="1"/>
    <col min="31" max="16384" width="8.7109375" hidden="1"/>
  </cols>
  <sheetData>
    <row r="1" spans="1:30">
      <c r="A1" s="25"/>
      <c r="B1" s="25"/>
      <c r="C1" s="25"/>
      <c r="D1" s="592"/>
      <c r="E1" s="592"/>
      <c r="F1" s="592"/>
      <c r="G1" s="592"/>
      <c r="H1" s="592"/>
      <c r="I1" s="592"/>
      <c r="J1" s="592"/>
      <c r="K1" s="25"/>
      <c r="L1" s="25"/>
      <c r="M1" s="25"/>
      <c r="N1" s="25"/>
      <c r="O1" s="25"/>
      <c r="P1" s="25"/>
      <c r="Q1" s="25"/>
      <c r="R1" s="25"/>
      <c r="S1" s="25"/>
      <c r="T1" s="25"/>
      <c r="U1" s="25"/>
      <c r="V1" s="25"/>
      <c r="W1" s="25"/>
      <c r="X1" s="25"/>
      <c r="Y1" s="25"/>
      <c r="Z1" s="25"/>
      <c r="AA1" s="25"/>
      <c r="AB1" s="25"/>
      <c r="AC1" s="25"/>
      <c r="AD1" s="25"/>
    </row>
    <row r="2" spans="1:30">
      <c r="A2" s="25"/>
      <c r="B2" s="25"/>
      <c r="C2" s="25"/>
      <c r="D2" s="592"/>
      <c r="E2" s="592"/>
      <c r="F2" s="592"/>
      <c r="G2" s="592"/>
      <c r="H2" s="592"/>
      <c r="I2" s="592"/>
      <c r="J2" s="592"/>
      <c r="K2" s="25"/>
      <c r="L2" s="25"/>
      <c r="M2" s="25"/>
      <c r="N2" s="25"/>
      <c r="O2" s="25"/>
      <c r="P2" s="25"/>
      <c r="Q2" s="25"/>
      <c r="R2" s="25"/>
      <c r="S2" s="25"/>
      <c r="T2" s="25"/>
      <c r="U2" s="25"/>
      <c r="V2" s="25"/>
      <c r="W2" s="25"/>
      <c r="X2" s="25"/>
      <c r="Y2" s="25"/>
      <c r="Z2" s="25"/>
      <c r="AA2" s="25"/>
      <c r="AB2" s="25"/>
      <c r="AC2" s="25"/>
      <c r="AD2" s="25"/>
    </row>
    <row r="3" spans="1:30">
      <c r="A3" s="25"/>
      <c r="B3" s="25"/>
      <c r="C3" s="25"/>
      <c r="D3" s="592"/>
      <c r="E3" s="592"/>
      <c r="F3" s="592"/>
      <c r="G3" s="592"/>
      <c r="H3" s="592"/>
      <c r="I3" s="592"/>
      <c r="J3" s="592"/>
      <c r="K3" s="25"/>
      <c r="L3" s="25"/>
      <c r="M3" s="25"/>
      <c r="N3" s="25"/>
      <c r="O3" s="25"/>
      <c r="P3" s="25"/>
      <c r="Q3" s="25"/>
      <c r="R3" s="25"/>
      <c r="S3" s="25"/>
      <c r="T3" s="25"/>
      <c r="U3" s="25"/>
      <c r="V3" s="25"/>
      <c r="W3" s="25"/>
      <c r="X3" s="25"/>
      <c r="Y3" s="25"/>
      <c r="Z3" s="25"/>
      <c r="AA3" s="25"/>
      <c r="AB3" s="25"/>
      <c r="AC3" s="25"/>
      <c r="AD3" s="25"/>
    </row>
    <row r="4" spans="1:30">
      <c r="A4" s="25"/>
      <c r="B4" s="25"/>
      <c r="C4" s="25"/>
      <c r="D4" s="592"/>
      <c r="E4" s="592"/>
      <c r="F4" s="592"/>
      <c r="G4" s="592"/>
      <c r="H4" s="592"/>
      <c r="I4" s="592"/>
      <c r="J4" s="592"/>
      <c r="K4" s="25"/>
      <c r="L4" s="25"/>
      <c r="M4" s="25"/>
      <c r="N4" s="25"/>
      <c r="O4" s="25"/>
      <c r="P4" s="25"/>
      <c r="Q4" s="25"/>
      <c r="R4" s="25"/>
      <c r="S4" s="25"/>
      <c r="T4" s="25"/>
      <c r="U4" s="25"/>
      <c r="V4" s="25"/>
      <c r="W4" s="25"/>
      <c r="X4" s="25"/>
      <c r="Y4" s="25"/>
      <c r="Z4" s="25"/>
      <c r="AA4" s="25"/>
      <c r="AB4" s="25"/>
      <c r="AC4" s="25"/>
      <c r="AD4" s="25"/>
    </row>
    <row r="5" spans="1:30">
      <c r="A5" s="25"/>
      <c r="B5" s="25"/>
      <c r="C5" s="25"/>
      <c r="D5" s="592"/>
      <c r="E5" s="592"/>
      <c r="F5" s="592"/>
      <c r="G5" s="592"/>
      <c r="H5" s="592"/>
      <c r="I5" s="592"/>
      <c r="J5" s="592"/>
      <c r="K5" s="25"/>
      <c r="L5" s="25"/>
      <c r="M5" s="25"/>
      <c r="N5" s="25"/>
      <c r="O5" s="25"/>
      <c r="P5" s="25"/>
      <c r="Q5" s="25"/>
      <c r="R5" s="25"/>
      <c r="S5" s="25"/>
      <c r="T5" s="25"/>
      <c r="U5" s="25"/>
      <c r="V5" s="25"/>
      <c r="W5" s="25"/>
      <c r="X5" s="25"/>
      <c r="Y5" s="25"/>
      <c r="Z5" s="25"/>
      <c r="AA5" s="25"/>
      <c r="AB5" s="25"/>
      <c r="AC5" s="25"/>
      <c r="AD5" s="25"/>
    </row>
    <row r="6" spans="1:30">
      <c r="A6" s="157" t="s">
        <v>0</v>
      </c>
      <c r="B6" s="594" t="s">
        <v>1</v>
      </c>
      <c r="C6" s="595"/>
      <c r="D6" s="595"/>
      <c r="E6" s="595"/>
      <c r="F6" s="595"/>
      <c r="G6" s="595"/>
      <c r="H6" s="595"/>
      <c r="I6" s="595"/>
      <c r="J6" s="595"/>
      <c r="K6" s="25"/>
      <c r="L6" s="25"/>
      <c r="M6" s="25"/>
      <c r="N6" s="25"/>
      <c r="O6" s="25"/>
      <c r="P6" s="25"/>
      <c r="Q6" s="25"/>
      <c r="R6" s="25"/>
      <c r="S6" s="25"/>
      <c r="T6" s="25"/>
      <c r="U6" s="25"/>
      <c r="V6" s="25"/>
      <c r="W6" s="25"/>
      <c r="X6" s="25"/>
      <c r="Y6" s="25"/>
      <c r="Z6" s="25"/>
      <c r="AA6" s="25"/>
      <c r="AB6" s="25"/>
      <c r="AC6" s="25"/>
      <c r="AD6" s="25"/>
    </row>
    <row r="7" spans="1:30">
      <c r="A7" s="25"/>
      <c r="B7" s="595"/>
      <c r="C7" s="595"/>
      <c r="D7" s="595"/>
      <c r="E7" s="595"/>
      <c r="F7" s="595"/>
      <c r="G7" s="595"/>
      <c r="H7" s="595"/>
      <c r="I7" s="595"/>
      <c r="J7" s="595"/>
      <c r="K7" s="25"/>
      <c r="L7" s="25"/>
      <c r="M7" s="25"/>
      <c r="N7" s="25"/>
      <c r="O7" s="25"/>
      <c r="P7" s="25"/>
      <c r="Q7" s="25"/>
      <c r="R7" s="25"/>
      <c r="S7" s="25"/>
      <c r="T7" s="25"/>
      <c r="U7" s="25"/>
      <c r="V7" s="25"/>
      <c r="W7" s="25"/>
      <c r="X7" s="25"/>
      <c r="Y7" s="25"/>
      <c r="Z7" s="25"/>
      <c r="AA7" s="25"/>
      <c r="AB7" s="25"/>
      <c r="AC7" s="25"/>
      <c r="AD7" s="25"/>
    </row>
    <row r="8" spans="1:30" ht="28.5" customHeight="1">
      <c r="A8" s="25"/>
      <c r="B8" s="595"/>
      <c r="C8" s="595"/>
      <c r="D8" s="595"/>
      <c r="E8" s="595"/>
      <c r="F8" s="595"/>
      <c r="G8" s="595"/>
      <c r="H8" s="595"/>
      <c r="I8" s="595"/>
      <c r="J8" s="595"/>
      <c r="K8" s="25"/>
      <c r="L8" s="25"/>
      <c r="M8" s="25"/>
      <c r="N8" s="25"/>
      <c r="O8" s="25"/>
      <c r="P8" s="25"/>
      <c r="Q8" s="25"/>
      <c r="R8" s="25"/>
      <c r="S8" s="25"/>
      <c r="T8" s="25"/>
      <c r="U8" s="25"/>
      <c r="V8" s="25"/>
      <c r="W8" s="25"/>
      <c r="X8" s="25"/>
      <c r="Y8" s="25"/>
      <c r="Z8" s="25"/>
      <c r="AA8" s="25"/>
      <c r="AB8" s="25"/>
      <c r="AC8" s="25"/>
      <c r="AD8" s="25"/>
    </row>
    <row r="9" spans="1:30" ht="14.65" customHeight="1">
      <c r="A9" s="25"/>
      <c r="B9" s="596"/>
      <c r="C9" s="596"/>
      <c r="D9" s="596"/>
      <c r="E9" s="596"/>
      <c r="F9" s="596"/>
      <c r="G9" s="596"/>
      <c r="H9" s="596"/>
      <c r="I9" s="596"/>
      <c r="J9" s="596"/>
      <c r="K9" s="25"/>
      <c r="L9" s="25"/>
      <c r="M9" s="25"/>
      <c r="N9" s="25"/>
      <c r="O9" s="25"/>
      <c r="P9" s="25"/>
      <c r="Q9" s="25"/>
      <c r="R9" s="25"/>
      <c r="S9" s="25"/>
      <c r="T9" s="25"/>
      <c r="U9" s="25"/>
      <c r="V9" s="25"/>
      <c r="W9" s="25"/>
      <c r="X9" s="25"/>
      <c r="Y9" s="25"/>
      <c r="Z9" s="25"/>
      <c r="AA9" s="25"/>
      <c r="AB9" s="25"/>
      <c r="AC9" s="25"/>
      <c r="AD9" s="25"/>
    </row>
    <row r="10" spans="1:30" ht="20.65" customHeight="1">
      <c r="A10" s="25"/>
      <c r="B10" s="596"/>
      <c r="C10" s="596"/>
      <c r="D10" s="596"/>
      <c r="E10" s="596"/>
      <c r="F10" s="596"/>
      <c r="G10" s="596"/>
      <c r="H10" s="596"/>
      <c r="I10" s="596"/>
      <c r="J10" s="596"/>
      <c r="K10" s="25"/>
      <c r="L10" s="25"/>
      <c r="M10" s="25"/>
      <c r="N10" s="25"/>
      <c r="O10" s="25"/>
      <c r="P10" s="25"/>
      <c r="Q10" s="25"/>
      <c r="R10" s="25"/>
      <c r="S10" s="25"/>
      <c r="T10" s="25"/>
      <c r="U10" s="25"/>
      <c r="V10" s="25"/>
      <c r="W10" s="25"/>
      <c r="X10" s="25"/>
      <c r="Y10" s="25"/>
      <c r="Z10" s="25"/>
      <c r="AA10" s="25"/>
      <c r="AB10" s="25"/>
      <c r="AC10" s="25"/>
      <c r="AD10" s="25"/>
    </row>
    <row r="11" spans="1:30">
      <c r="A11" s="25"/>
      <c r="B11" s="597" t="s">
        <v>2</v>
      </c>
      <c r="C11" s="597"/>
      <c r="D11" s="597"/>
      <c r="E11" s="597"/>
      <c r="F11" s="589" t="s">
        <v>3</v>
      </c>
      <c r="G11" s="589"/>
      <c r="H11" s="589"/>
      <c r="I11" s="589"/>
      <c r="J11" s="589"/>
      <c r="K11" s="25"/>
      <c r="L11" s="25"/>
      <c r="M11" s="25"/>
      <c r="N11" s="25"/>
      <c r="O11" s="25"/>
      <c r="P11" s="25"/>
      <c r="Q11" s="25"/>
      <c r="R11" s="25"/>
      <c r="S11" s="25"/>
      <c r="T11" s="25"/>
      <c r="U11" s="25"/>
      <c r="V11" s="25"/>
      <c r="W11" s="25"/>
      <c r="X11" s="25"/>
      <c r="Y11" s="25"/>
      <c r="Z11" s="25"/>
      <c r="AA11" s="25"/>
      <c r="AB11" s="25"/>
      <c r="AC11" s="25"/>
      <c r="AD11" s="25"/>
    </row>
    <row r="12" spans="1:30">
      <c r="A12" s="25"/>
      <c r="B12" s="590"/>
      <c r="C12" s="590"/>
      <c r="D12" s="590"/>
      <c r="E12" s="590"/>
      <c r="F12" s="590"/>
      <c r="G12" s="590"/>
      <c r="H12" s="590"/>
      <c r="I12" s="590"/>
      <c r="J12" s="59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c r="A14" s="25"/>
      <c r="B14" s="591"/>
      <c r="C14" s="598"/>
      <c r="D14" s="598"/>
      <c r="E14" s="598"/>
      <c r="F14" s="598"/>
      <c r="G14" s="598"/>
      <c r="H14" s="598"/>
      <c r="I14" s="598"/>
      <c r="J14" s="59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1"/>
      <c r="C15" s="598"/>
      <c r="D15" s="598"/>
      <c r="E15" s="598"/>
      <c r="F15" s="598"/>
      <c r="G15" s="598"/>
      <c r="H15" s="598"/>
      <c r="I15" s="598"/>
      <c r="J15" s="59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3" t="s">
        <v>4</v>
      </c>
      <c r="C17" s="593"/>
      <c r="D17" s="593"/>
      <c r="E17" s="593"/>
      <c r="F17" s="593"/>
      <c r="G17" s="593"/>
      <c r="H17" s="593"/>
      <c r="I17" s="25"/>
      <c r="J17" s="25"/>
      <c r="K17" s="25"/>
      <c r="L17" s="25"/>
      <c r="M17" s="25"/>
      <c r="N17" s="25"/>
      <c r="O17" s="25"/>
      <c r="P17" s="25"/>
      <c r="Q17" s="25"/>
      <c r="R17" s="25"/>
      <c r="S17" s="25"/>
      <c r="T17" s="25"/>
      <c r="U17" s="25"/>
      <c r="V17" s="25"/>
      <c r="W17" s="25"/>
      <c r="X17" s="25"/>
      <c r="Y17" s="25"/>
      <c r="Z17" s="25"/>
      <c r="AA17" s="25"/>
      <c r="AB17" s="25"/>
      <c r="AC17" s="25"/>
      <c r="AD17" s="25"/>
    </row>
    <row r="18" spans="1:30">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c r="A19" s="25"/>
      <c r="B19" s="599"/>
      <c r="C19" s="600"/>
      <c r="D19" s="603" t="s">
        <v>5</v>
      </c>
      <c r="E19" s="604"/>
      <c r="F19" s="604"/>
      <c r="G19" s="604"/>
      <c r="H19" s="60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1"/>
      <c r="C20" s="602"/>
      <c r="D20" s="576"/>
      <c r="E20" s="577"/>
      <c r="F20" s="577"/>
      <c r="G20" s="577"/>
      <c r="H20" s="578"/>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c r="A21" s="25"/>
      <c r="B21" s="569"/>
      <c r="C21" s="570"/>
      <c r="D21" s="573" t="s">
        <v>6</v>
      </c>
      <c r="E21" s="574"/>
      <c r="F21" s="574"/>
      <c r="G21" s="574"/>
      <c r="H21" s="575"/>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c r="A22" s="25"/>
      <c r="B22" s="571"/>
      <c r="C22" s="572"/>
      <c r="D22" s="576"/>
      <c r="E22" s="577"/>
      <c r="F22" s="577"/>
      <c r="G22" s="577"/>
      <c r="H22" s="578"/>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c r="A23" s="25"/>
      <c r="B23" s="610"/>
      <c r="C23" s="611"/>
      <c r="D23" s="614" t="s">
        <v>7</v>
      </c>
      <c r="E23" s="615"/>
      <c r="F23" s="615"/>
      <c r="G23" s="615"/>
      <c r="H23" s="616"/>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c r="A24" s="25"/>
      <c r="B24" s="612"/>
      <c r="C24" s="613"/>
      <c r="D24" s="617"/>
      <c r="E24" s="618"/>
      <c r="F24" s="618"/>
      <c r="G24" s="618"/>
      <c r="H24" s="619"/>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c r="A25" s="25"/>
      <c r="B25" s="385"/>
      <c r="C25" s="386"/>
      <c r="D25" s="585" t="s">
        <v>8</v>
      </c>
      <c r="E25" s="586"/>
      <c r="F25" s="586"/>
      <c r="G25" s="586"/>
      <c r="H25" s="587"/>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7"/>
      <c r="C26" s="388"/>
      <c r="D26" s="585" t="s">
        <v>9</v>
      </c>
      <c r="E26" s="586"/>
      <c r="F26" s="586"/>
      <c r="G26" s="586"/>
      <c r="H26" s="58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3" t="s">
        <v>10</v>
      </c>
      <c r="C27" s="584"/>
      <c r="D27" s="585" t="s">
        <v>11</v>
      </c>
      <c r="E27" s="586"/>
      <c r="F27" s="586"/>
      <c r="G27" s="586"/>
      <c r="H27" s="58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6" t="s">
        <v>12</v>
      </c>
      <c r="C28" s="607"/>
      <c r="D28" s="608" t="s">
        <v>13</v>
      </c>
      <c r="E28" s="608"/>
      <c r="F28" s="608"/>
      <c r="G28" s="608"/>
      <c r="H28" s="609"/>
      <c r="I28" s="25"/>
      <c r="J28" s="588" t="s">
        <v>14</v>
      </c>
      <c r="K28" s="588"/>
      <c r="L28" s="588"/>
      <c r="M28" s="588"/>
      <c r="N28" s="588"/>
      <c r="O28" s="588"/>
      <c r="P28" s="588"/>
      <c r="Q28" s="588"/>
      <c r="R28" s="588"/>
      <c r="S28" s="25"/>
      <c r="T28" s="25"/>
      <c r="U28" s="25"/>
      <c r="V28" s="25"/>
      <c r="W28" s="25"/>
      <c r="X28" s="25"/>
      <c r="Y28" s="25"/>
      <c r="Z28" s="25"/>
      <c r="AA28" s="25"/>
      <c r="AB28" s="25"/>
      <c r="AC28" s="25"/>
      <c r="AD28" s="25"/>
    </row>
    <row r="29" spans="1:30" ht="24" customHeight="1">
      <c r="A29" s="25"/>
      <c r="B29" s="579"/>
      <c r="C29" s="580"/>
      <c r="D29" s="581" t="s">
        <v>15</v>
      </c>
      <c r="E29" s="581"/>
      <c r="F29" s="581"/>
      <c r="G29" s="581"/>
      <c r="H29" s="582"/>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K39"/>
  <sheetViews>
    <sheetView workbookViewId="0"/>
  </sheetViews>
  <sheetFormatPr defaultColWidth="0" defaultRowHeight="15"/>
  <cols>
    <col min="1" max="1" width="4.5703125" customWidth="1"/>
    <col min="2" max="3" width="39.28515625" customWidth="1"/>
    <col min="4" max="4" width="70.7109375" customWidth="1"/>
    <col min="5" max="5" width="6" customWidth="1"/>
    <col min="6" max="6" width="13.7109375" customWidth="1"/>
    <col min="7" max="11" width="8.7109375" customWidth="1"/>
    <col min="12" max="16384" width="8.7109375" hidden="1"/>
  </cols>
  <sheetData>
    <row r="1" spans="1:11">
      <c r="A1" s="25"/>
      <c r="B1" s="25"/>
      <c r="C1" s="25"/>
      <c r="D1" s="25"/>
      <c r="E1" s="25"/>
      <c r="F1" s="25"/>
      <c r="G1" s="25"/>
      <c r="H1" s="25"/>
      <c r="I1" s="25"/>
      <c r="J1" s="25"/>
      <c r="K1" s="25"/>
    </row>
    <row r="2" spans="1:11" ht="32.65" customHeight="1">
      <c r="A2" s="25"/>
      <c r="B2" s="633" t="s">
        <v>16</v>
      </c>
      <c r="C2" s="634"/>
      <c r="D2" s="259" t="s">
        <v>17</v>
      </c>
      <c r="E2" s="40"/>
      <c r="F2" s="25"/>
      <c r="G2" s="25"/>
      <c r="H2" s="25"/>
      <c r="I2" s="25"/>
      <c r="J2" s="25"/>
      <c r="K2" s="25"/>
    </row>
    <row r="3" spans="1:11" ht="42" customHeight="1">
      <c r="A3" s="25"/>
      <c r="B3" s="628" t="s">
        <v>18</v>
      </c>
      <c r="C3" s="629"/>
      <c r="D3" s="31" t="s">
        <v>784</v>
      </c>
      <c r="E3" s="25"/>
      <c r="F3" s="25"/>
      <c r="G3" s="25"/>
      <c r="H3" s="25"/>
      <c r="I3" s="25"/>
      <c r="J3" s="25"/>
      <c r="K3" s="25"/>
    </row>
    <row r="4" spans="1:11" ht="42" customHeight="1">
      <c r="A4" s="25"/>
      <c r="B4" s="626" t="s">
        <v>19</v>
      </c>
      <c r="C4" s="627"/>
      <c r="D4" s="32" t="s">
        <v>1050</v>
      </c>
      <c r="E4" s="25"/>
      <c r="F4" s="25"/>
      <c r="G4" s="25"/>
      <c r="H4" s="25"/>
      <c r="I4" s="25"/>
      <c r="J4" s="25"/>
      <c r="K4" s="25"/>
    </row>
    <row r="5" spans="1:11" ht="42" customHeight="1">
      <c r="A5" s="25"/>
      <c r="B5" s="626" t="s">
        <v>20</v>
      </c>
      <c r="C5" s="627"/>
      <c r="D5" s="32" t="s">
        <v>1051</v>
      </c>
      <c r="E5" s="25"/>
      <c r="F5" s="25"/>
      <c r="G5" s="25"/>
      <c r="H5" s="25"/>
      <c r="I5" s="25"/>
      <c r="J5" s="25"/>
      <c r="K5" s="25"/>
    </row>
    <row r="6" spans="1:11" ht="42" customHeight="1">
      <c r="A6" s="25"/>
      <c r="B6" s="626" t="s">
        <v>21</v>
      </c>
      <c r="C6" s="627"/>
      <c r="D6" s="32" t="s">
        <v>1052</v>
      </c>
      <c r="E6" s="25"/>
      <c r="F6" s="25"/>
      <c r="G6" s="25"/>
      <c r="H6" s="25"/>
      <c r="I6" s="25"/>
      <c r="J6" s="25"/>
      <c r="K6" s="25"/>
    </row>
    <row r="7" spans="1:11" ht="42" customHeight="1">
      <c r="A7" s="25"/>
      <c r="B7" s="626" t="s">
        <v>22</v>
      </c>
      <c r="C7" s="627"/>
      <c r="D7" s="32" t="s">
        <v>1053</v>
      </c>
      <c r="E7" s="25"/>
      <c r="F7" s="25"/>
      <c r="G7" s="25"/>
      <c r="H7" s="25"/>
      <c r="I7" s="25"/>
      <c r="J7" s="25"/>
      <c r="K7" s="25"/>
    </row>
    <row r="8" spans="1:11" ht="42" customHeight="1">
      <c r="A8" s="25"/>
      <c r="B8" s="626" t="s">
        <v>23</v>
      </c>
      <c r="C8" s="627"/>
      <c r="D8" s="32" t="s">
        <v>1054</v>
      </c>
      <c r="E8" s="25"/>
      <c r="F8" s="25"/>
      <c r="G8" s="25"/>
      <c r="H8" s="25"/>
      <c r="I8" s="25"/>
      <c r="J8" s="25"/>
      <c r="K8" s="25"/>
    </row>
    <row r="9" spans="1:11" ht="42" customHeight="1">
      <c r="A9" s="25"/>
      <c r="B9" s="626" t="s">
        <v>24</v>
      </c>
      <c r="C9" s="627"/>
      <c r="D9" s="566">
        <v>46121</v>
      </c>
      <c r="E9" s="25"/>
      <c r="F9" s="25"/>
      <c r="G9" s="25"/>
      <c r="H9" s="25"/>
      <c r="I9" s="25"/>
      <c r="J9" s="25"/>
      <c r="K9" s="25"/>
    </row>
    <row r="10" spans="1:11" ht="42" customHeight="1">
      <c r="A10" s="25"/>
      <c r="B10" s="626" t="s">
        <v>25</v>
      </c>
      <c r="C10" s="627"/>
      <c r="D10" s="32" t="s">
        <v>1055</v>
      </c>
      <c r="E10" s="25"/>
      <c r="F10" s="25"/>
      <c r="G10" s="25"/>
      <c r="H10" s="25"/>
      <c r="I10" s="25"/>
      <c r="J10" s="25"/>
      <c r="K10" s="25"/>
    </row>
    <row r="11" spans="1:11" ht="42" customHeight="1">
      <c r="A11" s="25"/>
      <c r="B11" s="630" t="s">
        <v>26</v>
      </c>
      <c r="C11" s="631"/>
      <c r="D11" s="200" t="s">
        <v>1056</v>
      </c>
      <c r="E11" s="25"/>
      <c r="F11" s="25"/>
      <c r="G11" s="25"/>
      <c r="H11" s="25"/>
      <c r="I11" s="25"/>
      <c r="J11" s="25"/>
      <c r="K11" s="25"/>
    </row>
    <row r="12" spans="1:11" ht="42" customHeight="1">
      <c r="A12" s="25"/>
      <c r="B12" s="56" t="s">
        <v>27</v>
      </c>
      <c r="C12" s="145"/>
      <c r="D12" s="146"/>
      <c r="E12" s="25"/>
      <c r="F12" s="25"/>
      <c r="G12" s="25"/>
      <c r="H12" s="25"/>
      <c r="I12" s="25"/>
      <c r="J12" s="25"/>
      <c r="K12" s="25"/>
    </row>
    <row r="13" spans="1:11" ht="42" customHeight="1">
      <c r="A13" s="25"/>
      <c r="B13" s="621" t="s">
        <v>28</v>
      </c>
      <c r="C13" s="147" t="s">
        <v>29</v>
      </c>
      <c r="D13" s="33">
        <v>10</v>
      </c>
      <c r="E13" s="624" t="str">
        <f>IF(D13&lt;10,"Caution - % target reduced below default ▲",IF(D13&gt;10,"Caution -Target increased above default ⚠",""))</f>
        <v/>
      </c>
      <c r="F13" s="625"/>
      <c r="G13" s="625"/>
      <c r="H13" s="625"/>
      <c r="I13" s="625"/>
      <c r="J13" s="433"/>
      <c r="K13" s="25"/>
    </row>
    <row r="14" spans="1:11" ht="42" customHeight="1">
      <c r="A14" s="25"/>
      <c r="B14" s="622"/>
      <c r="C14" s="148" t="s">
        <v>30</v>
      </c>
      <c r="D14" s="34">
        <v>10</v>
      </c>
      <c r="E14" s="624" t="str">
        <f t="shared" ref="E14:E15" si="0">IF(D14&lt;10,"Caution - % target reduced below default ▲",IF(D14&gt;10,"Caution -Target increased above default ⚠",""))</f>
        <v/>
      </c>
      <c r="F14" s="625"/>
      <c r="G14" s="625"/>
      <c r="H14" s="625"/>
      <c r="I14" s="625"/>
      <c r="J14" s="25"/>
      <c r="K14" s="25"/>
    </row>
    <row r="15" spans="1:11" ht="42" customHeight="1">
      <c r="A15" s="25"/>
      <c r="B15" s="623"/>
      <c r="C15" s="149" t="s">
        <v>31</v>
      </c>
      <c r="D15" s="35">
        <v>10</v>
      </c>
      <c r="E15" s="624" t="str">
        <f t="shared" si="0"/>
        <v/>
      </c>
      <c r="F15" s="625"/>
      <c r="G15" s="625"/>
      <c r="H15" s="625"/>
      <c r="I15" s="625"/>
      <c r="J15" s="25"/>
      <c r="K15" s="25"/>
    </row>
    <row r="16" spans="1:11" ht="36.6" customHeight="1">
      <c r="A16" s="25"/>
      <c r="B16" s="153"/>
      <c r="C16" s="153"/>
      <c r="D16" s="499"/>
      <c r="E16" s="25"/>
      <c r="F16" s="25"/>
      <c r="G16" s="25"/>
      <c r="H16" s="25"/>
      <c r="I16" s="25"/>
      <c r="J16" s="25"/>
      <c r="K16" s="25"/>
    </row>
    <row r="17" spans="1:11" ht="40.9" customHeight="1">
      <c r="A17" s="25"/>
      <c r="B17" s="621" t="s">
        <v>32</v>
      </c>
      <c r="C17" s="147" t="s">
        <v>33</v>
      </c>
      <c r="D17" s="33">
        <v>0</v>
      </c>
      <c r="E17" s="620" t="str">
        <f>IF(D17=0,"","Unit increase Targets must be agreed with LPA ⚠")</f>
        <v/>
      </c>
      <c r="F17" s="620"/>
      <c r="G17" s="620"/>
      <c r="H17" s="620"/>
      <c r="I17" s="620"/>
      <c r="J17" s="25"/>
      <c r="K17" s="25"/>
    </row>
    <row r="18" spans="1:11" ht="40.9" customHeight="1">
      <c r="A18" s="25"/>
      <c r="B18" s="622"/>
      <c r="C18" s="148" t="s">
        <v>34</v>
      </c>
      <c r="D18" s="34">
        <v>0</v>
      </c>
      <c r="E18" s="620" t="str">
        <f t="shared" ref="E18:E19" si="1">IF(D18=0,"","Unit increase Targets must be agreed with LPA ⚠")</f>
        <v/>
      </c>
      <c r="F18" s="620"/>
      <c r="G18" s="620"/>
      <c r="H18" s="620"/>
      <c r="I18" s="620"/>
      <c r="J18" s="25"/>
      <c r="K18" s="25"/>
    </row>
    <row r="19" spans="1:11" ht="40.9" customHeight="1">
      <c r="A19" s="25"/>
      <c r="B19" s="623"/>
      <c r="C19" s="149" t="s">
        <v>35</v>
      </c>
      <c r="D19" s="35">
        <v>0</v>
      </c>
      <c r="E19" s="620" t="str">
        <f t="shared" si="1"/>
        <v/>
      </c>
      <c r="F19" s="620"/>
      <c r="G19" s="620"/>
      <c r="H19" s="620"/>
      <c r="I19" s="620"/>
      <c r="J19" s="25"/>
      <c r="K19" s="25"/>
    </row>
    <row r="20" spans="1:11" ht="23.65" customHeight="1">
      <c r="A20" s="25"/>
      <c r="B20" s="25"/>
      <c r="C20" s="25"/>
      <c r="D20" s="25"/>
      <c r="E20" s="153"/>
      <c r="F20" s="153"/>
      <c r="G20" s="153"/>
      <c r="H20" s="153"/>
      <c r="I20" s="153"/>
      <c r="J20" s="25"/>
      <c r="K20" s="25"/>
    </row>
    <row r="21" spans="1:11" ht="34.15" customHeight="1">
      <c r="A21" s="25"/>
      <c r="B21" s="632" t="s">
        <v>36</v>
      </c>
      <c r="C21" s="632"/>
      <c r="D21" s="632"/>
      <c r="E21" s="153"/>
      <c r="F21" s="153"/>
      <c r="G21" s="153"/>
      <c r="H21" s="153"/>
      <c r="I21" s="153"/>
      <c r="J21" s="25"/>
      <c r="K21" s="25"/>
    </row>
    <row r="22" spans="1:11" ht="40.9" customHeight="1">
      <c r="A22" s="25"/>
      <c r="B22" s="628" t="s">
        <v>37</v>
      </c>
      <c r="C22" s="629"/>
      <c r="D22" s="31"/>
      <c r="E22" s="153"/>
      <c r="F22" s="153"/>
      <c r="G22" s="153"/>
      <c r="H22" s="153"/>
      <c r="I22" s="153"/>
      <c r="J22" s="25"/>
      <c r="K22" s="25"/>
    </row>
    <row r="23" spans="1:11" ht="40.9" customHeight="1">
      <c r="A23" s="25"/>
      <c r="B23" s="630" t="s">
        <v>38</v>
      </c>
      <c r="C23" s="631"/>
      <c r="D23" s="286"/>
      <c r="E23" s="153"/>
      <c r="F23" s="153"/>
      <c r="G23" s="153"/>
      <c r="H23" s="153"/>
      <c r="I23" s="153"/>
      <c r="J23" s="25"/>
      <c r="K23" s="25"/>
    </row>
    <row r="24" spans="1:11" ht="40.9" customHeight="1">
      <c r="A24" s="25"/>
      <c r="B24" s="25"/>
      <c r="C24" s="25"/>
      <c r="D24" s="25"/>
      <c r="E24" s="25"/>
      <c r="F24" s="194"/>
      <c r="G24" s="194"/>
      <c r="H24" s="194"/>
      <c r="I24" s="194"/>
      <c r="J24" s="25"/>
      <c r="K24" s="25"/>
    </row>
    <row r="25" spans="1:11" ht="40.9" hidden="1" customHeight="1">
      <c r="A25" s="25"/>
      <c r="B25" s="25"/>
      <c r="C25" s="25"/>
      <c r="D25" s="25"/>
      <c r="E25" s="25"/>
      <c r="F25" s="194"/>
      <c r="G25" s="194"/>
      <c r="H25" s="194"/>
      <c r="I25" s="194"/>
      <c r="J25" s="25"/>
      <c r="K25" s="25"/>
    </row>
    <row r="26" spans="1:11" ht="40.9" hidden="1" customHeight="1">
      <c r="A26" s="25"/>
      <c r="B26" s="25"/>
      <c r="C26" s="25"/>
      <c r="D26" s="25"/>
      <c r="E26" s="25"/>
      <c r="F26" s="194"/>
      <c r="G26" s="194"/>
      <c r="H26" s="194"/>
      <c r="I26" s="194"/>
      <c r="J26" s="25"/>
      <c r="K26" s="25"/>
    </row>
    <row r="27" spans="1:11" ht="40.9" hidden="1" customHeight="1">
      <c r="A27" s="25"/>
      <c r="B27" s="25"/>
      <c r="C27" s="25"/>
      <c r="D27" s="25"/>
      <c r="E27" s="25"/>
      <c r="F27" s="194"/>
      <c r="G27" s="194"/>
      <c r="H27" s="194"/>
      <c r="I27" s="194"/>
      <c r="J27" s="25"/>
      <c r="K27" s="25"/>
    </row>
    <row r="28" spans="1:11" ht="36.6" hidden="1" customHeight="1">
      <c r="A28" s="25"/>
      <c r="B28" s="25"/>
      <c r="C28" s="25"/>
      <c r="D28" s="25"/>
      <c r="E28" s="25"/>
      <c r="F28" s="25"/>
      <c r="G28" s="25"/>
      <c r="H28" s="25"/>
      <c r="I28" s="25"/>
      <c r="J28" s="25"/>
      <c r="K28" s="25"/>
    </row>
    <row r="29" spans="1:11" ht="14.65" hidden="1" customHeight="1">
      <c r="A29" s="25"/>
      <c r="B29" s="25"/>
      <c r="C29" s="25"/>
      <c r="D29" s="25"/>
      <c r="E29" s="25"/>
      <c r="F29" s="25"/>
      <c r="G29" s="25"/>
      <c r="H29" s="25"/>
      <c r="I29" s="25"/>
      <c r="J29" s="25"/>
      <c r="K29" s="25"/>
    </row>
    <row r="30" spans="1:11" ht="14.65" hidden="1" customHeight="1">
      <c r="A30" s="25"/>
      <c r="B30" s="25"/>
      <c r="C30" s="25"/>
      <c r="D30" s="25"/>
      <c r="E30" s="25"/>
      <c r="F30" s="25"/>
      <c r="G30" s="25"/>
      <c r="H30" s="25"/>
      <c r="I30" s="25"/>
      <c r="J30" s="25"/>
      <c r="K30" s="25"/>
    </row>
    <row r="31" spans="1:11" ht="14.65" hidden="1" customHeight="1">
      <c r="A31" s="25"/>
      <c r="B31" s="25"/>
      <c r="C31" s="25"/>
      <c r="D31" s="25"/>
      <c r="E31" s="25"/>
      <c r="F31" s="25"/>
      <c r="G31" s="25"/>
      <c r="H31" s="25"/>
      <c r="I31" s="25"/>
      <c r="J31" s="25"/>
      <c r="K31" s="25"/>
    </row>
    <row r="32" spans="1:11" ht="14.6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idden="1">
      <c r="A34" s="25"/>
      <c r="B34" s="25"/>
      <c r="C34" s="25"/>
      <c r="D34" s="25"/>
      <c r="E34" s="25"/>
      <c r="F34" s="25"/>
      <c r="G34" s="25"/>
      <c r="H34" s="25"/>
      <c r="I34" s="25"/>
      <c r="J34" s="25"/>
      <c r="K34" s="25"/>
    </row>
    <row r="35" spans="1:11" hidden="1">
      <c r="A35" s="25"/>
      <c r="B35" s="25"/>
      <c r="C35" s="25"/>
      <c r="D35" s="25"/>
      <c r="E35" s="25"/>
      <c r="F35" s="25"/>
      <c r="G35" s="25"/>
      <c r="H35" s="25"/>
      <c r="I35" s="25"/>
      <c r="J35" s="25"/>
      <c r="K35" s="25"/>
    </row>
    <row r="36" spans="1:11" hidden="1">
      <c r="A36" s="25"/>
      <c r="B36" s="25"/>
      <c r="C36" s="25"/>
      <c r="D36" s="25"/>
      <c r="E36" s="25"/>
      <c r="F36" s="25"/>
      <c r="G36" s="25"/>
      <c r="H36" s="25"/>
      <c r="I36" s="25"/>
      <c r="J36" s="25"/>
      <c r="K36" s="25"/>
    </row>
    <row r="37" spans="1:11" hidden="1">
      <c r="A37" s="25"/>
      <c r="B37" s="25"/>
      <c r="C37" s="25"/>
      <c r="D37" s="25"/>
      <c r="E37" s="25"/>
      <c r="F37" s="25"/>
      <c r="G37" s="25"/>
      <c r="H37" s="25"/>
      <c r="I37" s="25"/>
      <c r="J37" s="25"/>
      <c r="K37" s="25"/>
    </row>
    <row r="38" spans="1:11" hidden="1"/>
    <row r="39" spans="1:11" hidden="1"/>
  </sheetData>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dataValidations count="3">
    <dataValidation type="date" operator="lessThanOrEqual" allowBlank="1" showErrorMessage="1" errorTitle="Error" error="Future dates cannot be added" sqref="D9 D23" xr:uid="{00000000-0002-0000-0100-000000000000}">
      <formula1>TODAY()</formula1>
    </dataValidation>
    <dataValidation errorStyle="warning" allowBlank="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2" operator="containsText" id="{00000000-000E-0000-0100-000002000000}">
            <xm:f>NOT(ISERROR(SEARCH("LPA",E17)))</xm:f>
            <x14:dxf>
              <font>
                <color theme="1"/>
              </font>
              <fill>
                <patternFill>
                  <bgColor rgb="FFFFC000"/>
                </patternFill>
              </fill>
            </x14:dxf>
          </x14:cfRule>
          <x14:cfRule type="containsText" priority="5" operator="containsText" id="{00000000-000E-0000-0100-000005000000}">
            <xm:f>NOT(ISERROR(SEARCH("Caution - % changed from default",E17)))</xm:f>
            <x14:dxf>
              <font>
                <color theme="0"/>
              </font>
              <fill>
                <patternFill>
                  <bgColor rgb="FFC00000"/>
                </patternFill>
              </fill>
            </x14:dxf>
          </x14:cfRule>
          <xm:sqref>E17:I19 F24:I27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R39"/>
  <sheetViews>
    <sheetView workbookViewId="0"/>
  </sheetViews>
  <sheetFormatPr defaultColWidth="0" defaultRowHeight="15"/>
  <cols>
    <col min="1" max="1" width="4.5703125" customWidth="1"/>
    <col min="2" max="2" width="63.28515625" customWidth="1"/>
    <col min="3" max="3" width="48.85546875" customWidth="1"/>
    <col min="4" max="4" width="46.85546875" customWidth="1"/>
    <col min="5" max="8" width="8.7109375" customWidth="1"/>
    <col min="9" max="13" width="8.7109375" hidden="1" customWidth="1"/>
    <col min="14" max="18" width="0" hidden="1" customWidth="1"/>
    <col min="19" max="16384" width="8.7109375" hidden="1"/>
  </cols>
  <sheetData>
    <row r="1" spans="1:14">
      <c r="A1" s="25"/>
      <c r="B1" s="25"/>
      <c r="C1" s="25"/>
      <c r="D1" s="25"/>
      <c r="E1" s="25"/>
      <c r="F1" s="25"/>
      <c r="G1" s="25"/>
      <c r="H1" s="25"/>
      <c r="I1" s="25"/>
      <c r="J1" s="25"/>
      <c r="K1" s="25"/>
      <c r="L1" s="25"/>
      <c r="M1" s="25"/>
      <c r="N1" s="25"/>
    </row>
    <row r="2" spans="1:14" ht="24" customHeight="1">
      <c r="A2" s="53"/>
      <c r="B2" s="199" t="s">
        <v>39</v>
      </c>
      <c r="C2" s="639" t="str">
        <f>IF('2. Site Details'!D4="","Enter site name on 2. Site Details",'2. Site Details'!D4)</f>
        <v>H08-0036-26 Polytunnel Site</v>
      </c>
      <c r="D2" s="640"/>
      <c r="E2" s="25"/>
      <c r="F2" s="25"/>
      <c r="G2" s="25"/>
      <c r="H2" s="25"/>
      <c r="I2" s="25"/>
      <c r="J2" s="25"/>
      <c r="K2" s="25"/>
      <c r="L2" s="25"/>
      <c r="M2" s="25"/>
      <c r="N2" s="25"/>
    </row>
    <row r="3" spans="1:14" ht="24" customHeight="1">
      <c r="A3" s="53"/>
      <c r="B3" s="198" t="s">
        <v>16</v>
      </c>
      <c r="C3" s="637" t="s">
        <v>40</v>
      </c>
      <c r="D3" s="638"/>
      <c r="E3" s="25"/>
      <c r="F3" s="25"/>
      <c r="G3" s="25"/>
      <c r="H3" s="25"/>
      <c r="I3" s="25"/>
      <c r="J3" s="25"/>
      <c r="K3" s="25"/>
      <c r="L3" s="25"/>
      <c r="M3" s="25"/>
      <c r="N3" s="25"/>
    </row>
    <row r="4" spans="1:14" ht="14.65" customHeight="1">
      <c r="A4" s="53"/>
      <c r="B4" s="53"/>
      <c r="C4" s="53"/>
      <c r="D4" s="53"/>
      <c r="E4" s="25"/>
      <c r="F4" s="25"/>
      <c r="G4" s="25"/>
      <c r="H4" s="25"/>
      <c r="I4" s="25"/>
      <c r="J4" s="25"/>
      <c r="K4" s="25"/>
      <c r="L4" s="25"/>
      <c r="M4" s="25"/>
      <c r="N4" s="25"/>
    </row>
    <row r="5" spans="1:14" ht="36" customHeight="1">
      <c r="A5" s="40"/>
      <c r="B5" s="56" t="s">
        <v>41</v>
      </c>
      <c r="C5" s="41"/>
      <c r="D5" s="41"/>
      <c r="E5" s="25"/>
      <c r="F5" s="25"/>
      <c r="G5" s="25"/>
      <c r="H5" s="25"/>
      <c r="I5" s="25"/>
      <c r="J5" s="25"/>
      <c r="K5" s="25"/>
      <c r="L5" s="25"/>
      <c r="M5" s="25"/>
      <c r="N5" s="25"/>
    </row>
    <row r="6" spans="1:14" ht="42" customHeight="1">
      <c r="A6" s="25"/>
      <c r="B6" s="37" t="s">
        <v>42</v>
      </c>
      <c r="C6" s="150" t="s">
        <v>1057</v>
      </c>
      <c r="D6" s="201" t="str">
        <f>IF(AND(C6="Residential",C9="Unknown number"),"Site area must be less than 5,000 m2",IF(C6="","","Site area must be less than 10,000 m2"))</f>
        <v>Site area must be less than 10,000 m2</v>
      </c>
      <c r="E6" s="635" t="str">
        <f>IF(AND(C9="Unknown number", C6="Residential"),"Site area limited by unknown number of dwellings ⚠", "")</f>
        <v/>
      </c>
      <c r="F6" s="636"/>
      <c r="G6" s="636"/>
      <c r="H6" s="636"/>
      <c r="I6" s="25"/>
      <c r="J6" s="25"/>
      <c r="K6" s="25"/>
      <c r="L6" s="25"/>
      <c r="M6" s="25"/>
      <c r="N6" s="25"/>
    </row>
    <row r="7" spans="1:14" ht="42" customHeight="1">
      <c r="A7" s="25"/>
      <c r="B7" s="42" t="s">
        <v>43</v>
      </c>
      <c r="C7" s="567">
        <v>6366.13</v>
      </c>
      <c r="D7" s="202"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4" t="str">
        <f>IF(OR(C6="Residential",C6="Other"),"N/A",IF(C6="","","16. Building footprint (m2) of commercial buildings proposed within the development site (or zero if none)"))</f>
        <v>N/A</v>
      </c>
      <c r="C8" s="151"/>
      <c r="D8" s="203"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c r="A9" s="25"/>
      <c r="B9" s="395" t="str">
        <f>IF(OR(C6="Commercial",C6="Other"),"N/A",IF(C6="","","17. Number of dwellings proposed within the development site"))</f>
        <v>N/A</v>
      </c>
      <c r="C9" s="152"/>
      <c r="D9" s="204"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c r="A10" s="25"/>
      <c r="B10" s="56" t="s">
        <v>44</v>
      </c>
      <c r="C10" s="43"/>
      <c r="D10" s="44"/>
      <c r="E10" s="25"/>
      <c r="F10" s="25"/>
      <c r="G10" s="25"/>
      <c r="H10" s="25"/>
      <c r="I10" s="25"/>
      <c r="J10" s="25"/>
      <c r="K10" s="25"/>
      <c r="L10" s="25"/>
      <c r="M10" s="25"/>
      <c r="N10" s="25"/>
    </row>
    <row r="11" spans="1:14" ht="42" customHeight="1">
      <c r="A11" s="25"/>
      <c r="B11" s="37" t="s">
        <v>45</v>
      </c>
      <c r="C11" s="150" t="s">
        <v>1058</v>
      </c>
      <c r="D11" s="372"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46</v>
      </c>
      <c r="C12" s="151" t="s">
        <v>1058</v>
      </c>
      <c r="D12" s="405"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47</v>
      </c>
      <c r="C13" s="641" t="s">
        <v>1059</v>
      </c>
      <c r="D13" s="642"/>
      <c r="E13" s="25"/>
      <c r="F13" s="25"/>
      <c r="G13" s="25"/>
      <c r="H13" s="25"/>
      <c r="I13" s="25"/>
      <c r="J13" s="25"/>
      <c r="K13" s="25"/>
      <c r="L13" s="25"/>
      <c r="M13" s="25"/>
      <c r="N13" s="25"/>
    </row>
    <row r="14" spans="1:14" ht="79.150000000000006" customHeight="1">
      <c r="A14" s="25"/>
      <c r="B14" s="36" t="s">
        <v>48</v>
      </c>
      <c r="C14" s="643" t="s">
        <v>1060</v>
      </c>
      <c r="D14" s="644"/>
      <c r="E14" s="25"/>
      <c r="F14" s="25"/>
      <c r="G14" s="25"/>
      <c r="H14" s="25"/>
      <c r="I14" s="25"/>
      <c r="J14" s="25"/>
      <c r="K14" s="25"/>
      <c r="L14" s="25"/>
      <c r="M14" s="25"/>
      <c r="N14" s="25"/>
    </row>
    <row r="15" spans="1:14" ht="36" customHeight="1">
      <c r="A15" s="25"/>
      <c r="B15" s="560" t="s">
        <v>49</v>
      </c>
      <c r="C15" s="25"/>
      <c r="D15" s="25"/>
      <c r="E15" s="25"/>
      <c r="F15" s="25"/>
      <c r="G15" s="25"/>
      <c r="H15" s="25"/>
      <c r="I15" s="25"/>
      <c r="J15" s="25"/>
      <c r="K15" s="25"/>
      <c r="L15" s="25"/>
      <c r="M15" s="25"/>
      <c r="N15" s="25"/>
    </row>
    <row r="16" spans="1:14" ht="42" customHeight="1">
      <c r="A16" s="25"/>
      <c r="B16" s="160" t="s">
        <v>50</v>
      </c>
      <c r="C16" s="561" t="s">
        <v>1058</v>
      </c>
      <c r="D16" s="562"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c r="A18" s="25"/>
      <c r="B18" s="56" t="s">
        <v>51</v>
      </c>
      <c r="C18" s="25"/>
      <c r="D18" s="25"/>
      <c r="E18" s="25"/>
      <c r="F18" s="25"/>
      <c r="G18" s="25"/>
      <c r="H18" s="25"/>
      <c r="I18" s="25"/>
      <c r="J18" s="25"/>
      <c r="K18" s="25"/>
      <c r="L18" s="25"/>
      <c r="M18" s="25"/>
      <c r="N18" s="25"/>
    </row>
    <row r="19" spans="1:14" ht="36" customHeight="1">
      <c r="A19" s="25"/>
      <c r="B19" s="37" t="s">
        <v>52</v>
      </c>
      <c r="C19" s="150" t="s">
        <v>1061</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c r="A20" s="25"/>
      <c r="B20" s="42" t="s">
        <v>53</v>
      </c>
      <c r="C20" s="568">
        <v>46121</v>
      </c>
      <c r="D20" s="161" t="str">
        <f>IF(C20="","Walkover date required ▲","Site walkover data valid until "&amp;TEXT(EDATE(C20,6),"dd/mm/yy"))</f>
        <v>Site walkover data valid until 09/10/26</v>
      </c>
      <c r="E20" s="25"/>
      <c r="F20" s="25"/>
      <c r="G20" s="25"/>
      <c r="H20" s="25"/>
      <c r="I20" s="25"/>
      <c r="J20" s="25"/>
      <c r="K20" s="25"/>
      <c r="L20" s="25"/>
      <c r="M20" s="25"/>
      <c r="N20" s="25"/>
    </row>
    <row r="21" spans="1:14" ht="39.6" customHeight="1">
      <c r="A21" s="25"/>
      <c r="B21" s="36" t="s">
        <v>54</v>
      </c>
      <c r="C21" s="558" t="s">
        <v>1062</v>
      </c>
      <c r="D21" s="559"/>
      <c r="E21" s="25"/>
      <c r="F21" s="25"/>
      <c r="G21" s="25"/>
      <c r="H21" s="25"/>
      <c r="I21" s="25"/>
      <c r="J21" s="25"/>
      <c r="K21" s="25"/>
      <c r="L21" s="25"/>
      <c r="M21" s="25"/>
      <c r="N21" s="25"/>
    </row>
    <row r="22" spans="1:14" ht="26.65" customHeight="1">
      <c r="A22" s="25"/>
      <c r="B22" s="56" t="s">
        <v>55</v>
      </c>
      <c r="C22" s="25"/>
      <c r="D22" s="25"/>
      <c r="E22" s="25"/>
      <c r="F22" s="25"/>
      <c r="G22" s="25"/>
      <c r="H22" s="25"/>
      <c r="I22" s="25"/>
      <c r="J22" s="25"/>
      <c r="K22" s="25"/>
      <c r="L22" s="25"/>
      <c r="M22" s="25"/>
      <c r="N22" s="25"/>
    </row>
    <row r="23" spans="1:14" ht="56.65" customHeight="1">
      <c r="A23" s="25"/>
      <c r="B23" s="160" t="s">
        <v>56</v>
      </c>
      <c r="C23" s="556" t="s">
        <v>1063</v>
      </c>
      <c r="D23" s="557"/>
      <c r="E23" s="25"/>
      <c r="F23" s="25"/>
      <c r="G23" s="25"/>
      <c r="H23" s="25"/>
      <c r="I23" s="25"/>
      <c r="J23" s="25"/>
      <c r="K23" s="25"/>
      <c r="L23" s="25"/>
      <c r="M23" s="25"/>
      <c r="N23" s="25"/>
    </row>
    <row r="24" spans="1:14" ht="14.65" customHeight="1">
      <c r="A24" s="25"/>
      <c r="B24" s="25"/>
      <c r="C24" s="25"/>
      <c r="D24" s="25"/>
      <c r="E24" s="25"/>
      <c r="F24" s="25"/>
      <c r="G24" s="25"/>
      <c r="H24" s="25"/>
      <c r="I24" s="25"/>
      <c r="J24" s="25"/>
      <c r="K24" s="25"/>
      <c r="L24" s="25"/>
      <c r="M24" s="25"/>
      <c r="N24" s="25"/>
    </row>
    <row r="25" spans="1:14" ht="14.65" customHeight="1">
      <c r="A25" s="25"/>
      <c r="B25" s="25"/>
      <c r="C25" s="25"/>
      <c r="D25" s="25"/>
      <c r="E25" s="25"/>
      <c r="F25" s="25"/>
      <c r="G25" s="25"/>
      <c r="H25" s="25"/>
      <c r="I25" s="25"/>
      <c r="J25" s="25"/>
      <c r="K25" s="25"/>
      <c r="L25" s="25"/>
      <c r="M25" s="25"/>
      <c r="N25" s="25"/>
    </row>
    <row r="26" spans="1:14" ht="15" hidden="1" customHeight="1">
      <c r="A26" s="25"/>
      <c r="B26" s="25"/>
      <c r="C26" s="25" t="s">
        <v>1064</v>
      </c>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formula>IF(LEFT(D8,1)="E","TRUE","")</formula>
    </cfRule>
  </conditionalFormatting>
  <conditionalFormatting sqref="C9">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11:D12">
    <cfRule type="expression" dxfId="189" priority="57">
      <formula>C11="On site"</formula>
    </cfRule>
  </conditionalFormatting>
  <conditionalFormatting sqref="D16">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8" operator="containsText" id="{00000000-000E-0000-0200-000008000000}">
            <xm:f>NOT(ISERROR(SEARCH("Unknown",C9)))</xm:f>
            <x14:dxf>
              <fill>
                <patternFill>
                  <bgColor rgb="FFFFC000"/>
                </patternFill>
              </fill>
            </x14:dxf>
          </x14:cfRule>
          <xm:sqref>C9</xm:sqref>
        </x14:conditionalFormatting>
        <x14:conditionalFormatting xmlns:xm="http://schemas.microsoft.com/office/excel/2006/main">
          <x14:cfRule type="containsText" priority="13" operator="containsText" id="{00000000-000E-0000-0200-00000D000000}">
            <xm:f>NOT(ISERROR(SEARCH("ERROR",D8)))</xm:f>
            <x14:dxf>
              <font>
                <b/>
                <color theme="0"/>
              </font>
              <fill>
                <patternFill>
                  <bgColor rgb="FFC00000"/>
                </patternFill>
              </fill>
            </x14:dxf>
          </x14:cfRule>
          <xm:sqref>D8:D9</xm:sqref>
        </x14:conditionalFormatting>
        <x14:conditionalFormatting xmlns:xm="http://schemas.microsoft.com/office/excel/2006/main">
          <x14:cfRule type="containsText" priority="9" operator="containsText" id="{00000000-000E-0000-0200-000009000000}">
            <xm:f>NOT(ISERROR(SEARCH("Consider",D11)))</xm:f>
            <x14:dxf>
              <fill>
                <patternFill>
                  <bgColor rgb="FFFFC000"/>
                </patternFill>
              </fill>
            </x14:dxf>
          </x14:cfRule>
          <xm:sqref>D11:D12</xm:sqref>
        </x14:conditionalFormatting>
        <x14:conditionalFormatting xmlns:xm="http://schemas.microsoft.com/office/excel/2006/main">
          <x14:cfRule type="containsText" priority="1" operator="containsText" id="{00000000-000E-0000-0200-000001000000}">
            <xm:f>NOT(ISERROR(SEARCH("ERROR",D16)))</xm:f>
            <x14:dxf>
              <font>
                <color theme="0"/>
              </font>
              <fill>
                <patternFill>
                  <bgColor rgb="FFC00000"/>
                </patternFill>
              </fill>
            </x14:dxf>
          </x14:cfRule>
          <x14:cfRule type="containsText" priority="2" operator="containsText" id="{00000000-000E-0000-0200-000002000000}">
            <xm:f>NOT(ISERROR(SEARCH("Consider",D16)))</xm:f>
            <x14:dxf>
              <fill>
                <patternFill>
                  <bgColor rgb="FFFFC000"/>
                </patternFill>
              </fill>
            </x14:dxf>
          </x14:cfRule>
          <xm:sqref>D16</xm:sqref>
        </x14:conditionalFormatting>
        <x14:conditionalFormatting xmlns:xm="http://schemas.microsoft.com/office/excel/2006/main">
          <x14:cfRule type="containsText" priority="33" operator="containsText" id="{00000000-000E-0000-0200-000021000000}">
            <xm:f>NOT(ISERROR(SEARCH("Walkover date required",D20)))</xm:f>
            <x14:dxf>
              <font>
                <color theme="0"/>
              </font>
              <fill>
                <patternFill>
                  <bgColor rgb="FFC00000"/>
                </patternFill>
              </fill>
            </x14:dxf>
          </x14:cfRule>
          <xm:sqref>D20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XFB158"/>
  <sheetViews>
    <sheetView showGridLines="0" workbookViewId="0"/>
  </sheetViews>
  <sheetFormatPr defaultColWidth="8.7109375" defaultRowHeight="15"/>
  <cols>
    <col min="1" max="1" width="3.42578125" customWidth="1"/>
    <col min="2" max="2" width="16.42578125" customWidth="1"/>
    <col min="3" max="3" width="32.140625" customWidth="1"/>
    <col min="4" max="5" width="89.7109375" customWidth="1"/>
    <col min="6" max="7" width="8.7109375" customWidth="1"/>
    <col min="8" max="16382" width="8.7109375" hidden="1" customWidth="1"/>
    <col min="16383" max="16383" width="8.7109375" style="25" customWidth="1"/>
    <col min="16384" max="16384" width="8.7109375" style="25"/>
  </cols>
  <sheetData>
    <row r="1" spans="1:34">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9" t="s">
        <v>39</v>
      </c>
      <c r="C2" s="650"/>
      <c r="D2" s="260" t="str">
        <f>IF('2. Site Details'!D4="","Enter site name on 2. Site Details",'2. Site Details'!D4)</f>
        <v>H08-0036-26 Polytunnel Site</v>
      </c>
      <c r="E2" s="652"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c r="A3" s="25"/>
      <c r="B3" s="647" t="s">
        <v>16</v>
      </c>
      <c r="C3" s="648"/>
      <c r="D3" s="261" t="s">
        <v>57</v>
      </c>
      <c r="E3" s="652"/>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58</v>
      </c>
      <c r="C5" s="59"/>
      <c r="D5" s="651" t="s">
        <v>59</v>
      </c>
      <c r="E5" s="651"/>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c r="A7" s="25"/>
      <c r="B7" s="186" t="s">
        <v>60</v>
      </c>
      <c r="C7" s="187" t="s">
        <v>61</v>
      </c>
      <c r="D7" s="187" t="s">
        <v>62</v>
      </c>
      <c r="E7" s="188" t="s">
        <v>63</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5">
        <v>1</v>
      </c>
      <c r="C8" s="167" t="s">
        <v>1065</v>
      </c>
      <c r="D8" s="396" t="s">
        <v>1066</v>
      </c>
      <c r="E8" s="397"/>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c r="A9" s="25"/>
      <c r="B9" s="646"/>
      <c r="C9" s="185" t="s">
        <v>320</v>
      </c>
      <c r="D9" s="190"/>
      <c r="E9" s="191"/>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5">
        <v>2</v>
      </c>
      <c r="C10" s="167" t="s">
        <v>1065</v>
      </c>
      <c r="D10" s="396" t="s">
        <v>1066</v>
      </c>
      <c r="E10" s="397"/>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c r="A11" s="25"/>
      <c r="B11" s="646"/>
      <c r="C11" s="185" t="str">
        <f>IF('5. Area Habitats'!D12=0,"",'5. Area Habitats'!D12)</f>
        <v/>
      </c>
      <c r="D11" s="190"/>
      <c r="E11" s="191"/>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5">
        <v>3</v>
      </c>
      <c r="C12" s="167" t="s">
        <v>1065</v>
      </c>
      <c r="D12" s="396" t="s">
        <v>1066</v>
      </c>
      <c r="E12" s="397"/>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c r="A13" s="25"/>
      <c r="B13" s="646"/>
      <c r="C13" s="185" t="str">
        <f>IF('5. Area Habitats'!D13=0,"",'5. Area Habitats'!D13)</f>
        <v/>
      </c>
      <c r="D13" s="190"/>
      <c r="E13" s="191"/>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3" t="s">
        <v>1067</v>
      </c>
      <c r="C14" s="167" t="s">
        <v>1068</v>
      </c>
      <c r="D14" s="398"/>
      <c r="E14" s="399"/>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c r="A15" s="25"/>
      <c r="B15" s="654"/>
      <c r="C15" s="189"/>
      <c r="D15" s="192"/>
      <c r="E15" s="193"/>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5"/>
      <c r="C16" s="167"/>
      <c r="D16" s="396"/>
      <c r="E16" s="397"/>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c r="A17" s="25"/>
      <c r="B17" s="646"/>
      <c r="C17" s="185"/>
      <c r="D17" s="190"/>
      <c r="E17" s="191"/>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5"/>
      <c r="C18" s="167"/>
      <c r="D18" s="396"/>
      <c r="E18" s="397"/>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c r="A19" s="25"/>
      <c r="B19" s="646"/>
      <c r="C19" s="185"/>
      <c r="D19" s="190"/>
      <c r="E19" s="191"/>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5"/>
      <c r="C20" s="167"/>
      <c r="D20" s="396"/>
      <c r="E20" s="397"/>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c r="A21" s="25"/>
      <c r="B21" s="646"/>
      <c r="C21" s="185"/>
      <c r="D21" s="190"/>
      <c r="E21" s="191"/>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5"/>
      <c r="C22" s="167"/>
      <c r="D22" s="396"/>
      <c r="E22" s="397"/>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c r="A23" s="25"/>
      <c r="B23" s="646"/>
      <c r="C23" s="185"/>
      <c r="D23" s="190"/>
      <c r="E23" s="191"/>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5"/>
      <c r="C24" s="167"/>
      <c r="D24" s="396"/>
      <c r="E24" s="397"/>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c r="A25" s="25"/>
      <c r="B25" s="646"/>
      <c r="C25" s="185"/>
      <c r="D25" s="190"/>
      <c r="E25" s="191"/>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5"/>
      <c r="C26" s="167"/>
      <c r="D26" s="396"/>
      <c r="E26" s="397"/>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c r="A27" s="25"/>
      <c r="B27" s="646"/>
      <c r="C27" s="185"/>
      <c r="D27" s="190"/>
      <c r="E27" s="191"/>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5"/>
      <c r="C28" s="167"/>
      <c r="D28" s="396"/>
      <c r="E28" s="397"/>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c r="A29" s="25"/>
      <c r="B29" s="646"/>
      <c r="C29" s="185"/>
      <c r="D29" s="190"/>
      <c r="E29" s="191"/>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5"/>
      <c r="C30" s="167"/>
      <c r="D30" s="396"/>
      <c r="E30" s="397"/>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c r="A31" s="25"/>
      <c r="B31" s="646"/>
      <c r="C31" s="185"/>
      <c r="D31" s="190"/>
      <c r="E31" s="191"/>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5"/>
      <c r="C32" s="167"/>
      <c r="D32" s="396"/>
      <c r="E32" s="397"/>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c r="A33" s="25"/>
      <c r="B33" s="646"/>
      <c r="C33" s="185"/>
      <c r="D33" s="190"/>
      <c r="E33" s="191"/>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5"/>
      <c r="C34" s="167"/>
      <c r="D34" s="396"/>
      <c r="E34" s="397"/>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c r="A35" s="25"/>
      <c r="B35" s="646"/>
      <c r="C35" s="185"/>
      <c r="D35" s="190"/>
      <c r="E35" s="191"/>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5"/>
      <c r="C36" s="167"/>
      <c r="D36" s="396"/>
      <c r="E36" s="397"/>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c r="A37" s="25"/>
      <c r="B37" s="646"/>
      <c r="C37" s="185"/>
      <c r="D37" s="190"/>
      <c r="E37" s="191"/>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5"/>
      <c r="C38" s="167"/>
      <c r="D38" s="396"/>
      <c r="E38" s="397"/>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c r="A39" s="25"/>
      <c r="B39" s="646"/>
      <c r="C39" s="185"/>
      <c r="D39" s="190"/>
      <c r="E39" s="191"/>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5"/>
      <c r="C40" s="167"/>
      <c r="D40" s="396"/>
      <c r="E40" s="397"/>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c r="A41" s="25"/>
      <c r="B41" s="646"/>
      <c r="C41" s="185"/>
      <c r="D41" s="190"/>
      <c r="E41" s="191"/>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5"/>
      <c r="C42" s="167"/>
      <c r="D42" s="396"/>
      <c r="E42" s="397"/>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c r="A43" s="25"/>
      <c r="B43" s="646"/>
      <c r="C43" s="185"/>
      <c r="D43" s="190"/>
      <c r="E43" s="191"/>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5"/>
      <c r="C44" s="167"/>
      <c r="D44" s="396"/>
      <c r="E44" s="397"/>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c r="A45" s="25"/>
      <c r="B45" s="646"/>
      <c r="C45" s="185"/>
      <c r="D45" s="190"/>
      <c r="E45" s="191"/>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5"/>
      <c r="C46" s="167"/>
      <c r="D46" s="396"/>
      <c r="E46" s="397"/>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c r="A47" s="25"/>
      <c r="B47" s="646"/>
      <c r="C47" s="185" t="str">
        <f>IF('5. Area Habitats'!D30=0,"",'5. Area Habitats'!D30)</f>
        <v/>
      </c>
      <c r="D47" s="190"/>
      <c r="E47" s="191"/>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t="s">
        <v>1069</v>
      </c>
      <c r="C50" s="25" t="s">
        <v>1070</v>
      </c>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00000000-000E-0000-0300-000001000000}">
            <xm:f>NOT(ISERROR(SEARCH("Error",E2)))</xm:f>
            <x14:dxf>
              <font>
                <color theme="0"/>
              </font>
              <fill>
                <patternFill>
                  <bgColor rgb="FFC00000"/>
                </patternFill>
              </fill>
            </x14:dxf>
          </x14:cfRule>
          <xm:sqref>E2:E3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600"/>
  </sheetPr>
  <dimension ref="A1:XEY169"/>
  <sheetViews>
    <sheetView workbookViewId="0"/>
  </sheetViews>
  <sheetFormatPr defaultColWidth="8.7109375" defaultRowHeight="15"/>
  <cols>
    <col min="1" max="1" width="4.5703125" customWidth="1"/>
    <col min="2" max="2" width="14.85546875" customWidth="1"/>
    <col min="3" max="3" width="26.42578125" customWidth="1"/>
    <col min="4" max="4" width="62.85546875" customWidth="1"/>
    <col min="5" max="5" width="22" customWidth="1"/>
    <col min="6" max="6" width="18.5703125" customWidth="1"/>
    <col min="7" max="7" width="39.855468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140625" customWidth="1"/>
    <col min="20" max="20" width="13" customWidth="1"/>
    <col min="21" max="21" width="14.85546875" customWidth="1"/>
    <col min="22" max="22" width="20.7109375" customWidth="1"/>
    <col min="23" max="23" width="23.85546875" customWidth="1"/>
    <col min="24" max="24" width="16.85546875" customWidth="1"/>
    <col min="25" max="25" width="14" hidden="1" customWidth="1"/>
    <col min="26" max="26" width="21.28515625" hidden="1" customWidth="1"/>
    <col min="27" max="27" width="14" hidden="1" customWidth="1"/>
    <col min="28" max="28" width="33.7109375" customWidth="1"/>
    <col min="29" max="29" width="26.42578125" customWidth="1"/>
    <col min="30" max="30" width="50" customWidth="1"/>
    <col min="31" max="31" width="18.85546875" customWidth="1"/>
    <col min="32" max="32" width="23.85546875" customWidth="1"/>
    <col min="33" max="33" width="16.85546875" customWidth="1"/>
    <col min="34" max="34" width="35.7109375" customWidth="1"/>
    <col min="35" max="35" width="76.28515625" customWidth="1"/>
    <col min="36" max="36" width="22.140625" customWidth="1"/>
    <col min="37" max="39" width="22.140625" hidden="1" customWidth="1"/>
    <col min="40" max="40" width="20.42578125" customWidth="1"/>
    <col min="41" max="41" width="34.140625" customWidth="1"/>
    <col min="42" max="42" width="19.7109375" customWidth="1"/>
    <col min="43" max="43" width="16.28515625" customWidth="1"/>
    <col min="44" max="47" width="27.140625" customWidth="1"/>
    <col min="48" max="48" width="21.28515625" customWidth="1"/>
    <col min="49" max="49" width="23.28515625" customWidth="1"/>
    <col min="50" max="50" width="68.140625" customWidth="1"/>
    <col min="51" max="51" width="26.42578125" customWidth="1"/>
    <col min="52" max="52" width="14.28515625" customWidth="1"/>
    <col min="53" max="53" width="26.42578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c r="A1" s="25"/>
      <c r="B1" s="25"/>
      <c r="C1" s="25"/>
      <c r="D1" s="25"/>
      <c r="E1" s="25"/>
      <c r="F1" s="25"/>
      <c r="G1" s="25"/>
      <c r="H1" s="25"/>
      <c r="I1" s="52"/>
      <c r="J1" s="52"/>
      <c r="K1" s="52"/>
      <c r="L1" s="52"/>
      <c r="M1" s="52"/>
      <c r="N1" s="52"/>
      <c r="O1" s="154" t="s">
        <v>64</v>
      </c>
      <c r="P1" s="276">
        <f>IFERROR(SUM(AE11:AE31), "Error ▲")</f>
        <v>0</v>
      </c>
      <c r="Q1" s="25"/>
      <c r="R1" s="655" t="s">
        <v>65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66</v>
      </c>
      <c r="C2" s="828" t="str">
        <f>IF('2. Site Details'!D4="","Enter site name on 2. Site Details",'2. Site Details'!D4)</f>
        <v>H08-0036-26 Polytunnel Site</v>
      </c>
      <c r="D2" s="829"/>
      <c r="E2" s="25"/>
      <c r="F2" s="773" t="s">
        <v>67</v>
      </c>
      <c r="G2" s="774"/>
      <c r="H2" s="775"/>
      <c r="I2" s="81"/>
      <c r="J2" s="787" t="str">
        <f t="array" ref="J2">IFERROR(IF(OR((ISNUMBER(SEARCH("▲",A7:Q101)))),"Input Errors Present On Sheet - Red Cells Or ▲ Highlight Errors","All Key Rules Satisfied ✓ "),"Technical Errors On Sheet ▲")</f>
        <v xml:space="preserve">All Key Rules Satisfied ✓ </v>
      </c>
      <c r="K2" s="787"/>
      <c r="L2" s="787"/>
      <c r="M2" s="787"/>
      <c r="N2" s="81"/>
      <c r="O2" s="83" t="s">
        <v>68</v>
      </c>
      <c r="P2" s="276">
        <f>IFERROR(N32, "Error ▲")</f>
        <v>0.14645200000000005</v>
      </c>
      <c r="Q2" s="25"/>
      <c r="R2" s="655"/>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c r="A3" s="25"/>
      <c r="B3" s="82" t="s">
        <v>16</v>
      </c>
      <c r="C3" s="830" t="s">
        <v>69</v>
      </c>
      <c r="D3" s="831"/>
      <c r="E3" s="25"/>
      <c r="F3" s="776"/>
      <c r="G3" s="777"/>
      <c r="H3" s="778"/>
      <c r="I3" s="81"/>
      <c r="J3" s="787"/>
      <c r="K3" s="787"/>
      <c r="L3" s="787"/>
      <c r="M3" s="787"/>
      <c r="N3" s="81"/>
      <c r="O3" s="83" t="s">
        <v>70</v>
      </c>
      <c r="P3" s="276">
        <f>IFERROR(L61, "Error ▲")</f>
        <v>0</v>
      </c>
      <c r="Q3" s="25"/>
      <c r="R3" s="655"/>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71</v>
      </c>
      <c r="P4" s="276">
        <f>IFERROR(L89, "Error ▲")</f>
        <v>3.8064391332</v>
      </c>
      <c r="Q4" s="25"/>
      <c r="R4" s="655"/>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c r="A5" s="85"/>
      <c r="B5" s="25"/>
      <c r="C5" s="25"/>
      <c r="D5" s="25"/>
      <c r="E5" s="25"/>
      <c r="F5" s="776"/>
      <c r="G5" s="777"/>
      <c r="H5" s="778"/>
      <c r="I5" s="81"/>
      <c r="J5" s="787"/>
      <c r="K5" s="787"/>
      <c r="L5" s="787"/>
      <c r="M5" s="787"/>
      <c r="N5" s="81"/>
      <c r="O5" s="86" t="s">
        <v>72</v>
      </c>
      <c r="P5" s="277">
        <f>IFERROR((P1+L61+L89)-L32, "Error ▲")</f>
        <v>1.2599871332000001</v>
      </c>
      <c r="Q5" s="25"/>
      <c r="R5" s="655"/>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c r="A6" s="85"/>
      <c r="B6" s="25"/>
      <c r="C6" s="25"/>
      <c r="D6" s="25"/>
      <c r="E6" s="25"/>
      <c r="F6" s="779"/>
      <c r="G6" s="780"/>
      <c r="H6" s="781"/>
      <c r="I6" s="52"/>
      <c r="J6" s="52"/>
      <c r="K6" s="52"/>
      <c r="L6" s="52"/>
      <c r="M6" s="52"/>
      <c r="N6" s="52"/>
      <c r="O6" s="87"/>
      <c r="P6" s="87"/>
      <c r="Q6" s="25"/>
      <c r="R6" s="655"/>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73</v>
      </c>
      <c r="C7" s="25"/>
      <c r="D7" s="88"/>
      <c r="E7" s="25"/>
      <c r="F7" s="25"/>
      <c r="G7" s="25"/>
      <c r="H7" s="26"/>
      <c r="I7" s="25"/>
      <c r="J7" s="25"/>
      <c r="K7" s="26"/>
      <c r="L7" s="30"/>
      <c r="M7" s="30"/>
      <c r="N7" s="30"/>
      <c r="O7" s="25"/>
      <c r="P7" s="25"/>
      <c r="Q7" s="25"/>
      <c r="R7" s="655"/>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c r="A8" s="89"/>
      <c r="B8" s="25"/>
      <c r="C8" s="25"/>
      <c r="D8" s="25"/>
      <c r="E8" s="25"/>
      <c r="F8" s="25"/>
      <c r="G8" s="25"/>
      <c r="H8" s="25"/>
      <c r="I8" s="25"/>
      <c r="J8" s="25"/>
      <c r="K8" s="25"/>
      <c r="L8" s="25"/>
      <c r="M8" s="25"/>
      <c r="N8" s="25"/>
      <c r="O8" s="25"/>
      <c r="P8" s="25"/>
      <c r="Q8" s="25"/>
      <c r="R8" s="65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65" customHeight="1">
      <c r="A9" s="89"/>
      <c r="B9" s="736" t="s">
        <v>60</v>
      </c>
      <c r="C9" s="726" t="s">
        <v>74</v>
      </c>
      <c r="D9" s="727"/>
      <c r="E9" s="728"/>
      <c r="F9" s="757" t="s">
        <v>75</v>
      </c>
      <c r="G9" s="758"/>
      <c r="H9" s="759"/>
      <c r="I9" s="726" t="s">
        <v>76</v>
      </c>
      <c r="J9" s="727"/>
      <c r="K9" s="728"/>
      <c r="L9" s="754" t="s">
        <v>77</v>
      </c>
      <c r="M9" s="755"/>
      <c r="N9" s="756"/>
      <c r="O9" s="754" t="s">
        <v>78</v>
      </c>
      <c r="P9" s="756"/>
      <c r="Q9" s="25"/>
      <c r="R9" s="655"/>
      <c r="S9" s="25"/>
      <c r="T9" s="683" t="s">
        <v>79</v>
      </c>
      <c r="U9" s="684"/>
      <c r="V9" s="685"/>
      <c r="W9" s="763" t="s">
        <v>80</v>
      </c>
      <c r="X9" s="685"/>
      <c r="Y9" s="764"/>
      <c r="Z9" s="764"/>
      <c r="AA9" s="764"/>
      <c r="AB9" s="683" t="s">
        <v>81</v>
      </c>
      <c r="AC9" s="684"/>
      <c r="AD9" s="685"/>
      <c r="AE9" s="683" t="s">
        <v>82</v>
      </c>
      <c r="AF9" s="684"/>
      <c r="AG9" s="685"/>
      <c r="AH9" s="836" t="s">
        <v>83</v>
      </c>
      <c r="AI9" s="750" t="s">
        <v>84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c r="A10" s="89"/>
      <c r="B10" s="737"/>
      <c r="C10" s="86" t="s">
        <v>85</v>
      </c>
      <c r="D10" s="822" t="s">
        <v>86</v>
      </c>
      <c r="E10" s="823"/>
      <c r="F10" s="760"/>
      <c r="G10" s="761"/>
      <c r="H10" s="762"/>
      <c r="I10" s="86" t="s">
        <v>87</v>
      </c>
      <c r="J10" s="196" t="s">
        <v>88</v>
      </c>
      <c r="K10" s="90" t="s">
        <v>89</v>
      </c>
      <c r="L10" s="86" t="s">
        <v>90</v>
      </c>
      <c r="M10" s="196" t="s">
        <v>91</v>
      </c>
      <c r="N10" s="90" t="s">
        <v>92</v>
      </c>
      <c r="O10" s="86" t="s">
        <v>93</v>
      </c>
      <c r="P10" s="90" t="s">
        <v>94</v>
      </c>
      <c r="Q10" s="25"/>
      <c r="R10" s="655"/>
      <c r="S10" s="25"/>
      <c r="T10" s="681" t="s">
        <v>95</v>
      </c>
      <c r="U10" s="682"/>
      <c r="V10" s="92" t="s">
        <v>96</v>
      </c>
      <c r="W10" s="332" t="s">
        <v>97</v>
      </c>
      <c r="X10" s="92" t="s">
        <v>96</v>
      </c>
      <c r="Y10" s="344"/>
      <c r="Z10" s="344"/>
      <c r="AA10" s="344"/>
      <c r="AB10" s="91" t="s">
        <v>81</v>
      </c>
      <c r="AC10" s="49" t="s">
        <v>81</v>
      </c>
      <c r="AD10" s="92" t="s">
        <v>98</v>
      </c>
      <c r="AE10" s="91" t="s">
        <v>99</v>
      </c>
      <c r="AF10" s="49" t="s">
        <v>100</v>
      </c>
      <c r="AG10" s="92" t="s">
        <v>101</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120">
      <c r="A11" s="89"/>
      <c r="B11" s="262">
        <v>1</v>
      </c>
      <c r="C11" s="257" t="s">
        <v>215</v>
      </c>
      <c r="D11" s="722" t="s">
        <v>320</v>
      </c>
      <c r="E11" s="723"/>
      <c r="F11" s="767" t="s">
        <v>125</v>
      </c>
      <c r="G11" s="768"/>
      <c r="H11" s="769"/>
      <c r="I11" s="303">
        <v>6366.13</v>
      </c>
      <c r="J11" s="321">
        <v>0</v>
      </c>
      <c r="K11" s="305">
        <v>6000</v>
      </c>
      <c r="L11" s="406">
        <f>IF(C11="","",IFERROR(IF(I11="","",((I11/10000)*V11*X11)*AD11),"Error ▲"))</f>
        <v>2.5464519999999999</v>
      </c>
      <c r="M11" s="406">
        <f>IF(I11="","",IF(J11+K11&gt;I11,"Area Error ▲",I11-J11-K11))</f>
        <v>366.13000000000011</v>
      </c>
      <c r="N11" s="407">
        <f>IFERROR(IF(I11="","",IF(M11="Area Error ▲","Area Error ▲",((M11/10000)*V11*X11)*AD11)),"This intervention is not permitted within the SSM ▲")</f>
        <v>0.14645200000000005</v>
      </c>
      <c r="O11" s="67" t="s">
        <v>1071</v>
      </c>
      <c r="P11" s="5"/>
      <c r="Q11" s="25"/>
      <c r="R11" s="655"/>
      <c r="S11" s="25"/>
      <c r="T11" s="664" t="str">
        <f>IF(C11="","",VLOOKUP(D11,'9. All Habitats + Multipliers'!$C$4:$K$102,5,FALSE))</f>
        <v>Low</v>
      </c>
      <c r="U11" s="665"/>
      <c r="V11" s="94">
        <f>IF(T11="","",VLOOKUP(T11,'11. Lists'!$B$47:$D$49,2,FALSE))</f>
        <v>2</v>
      </c>
      <c r="W11" s="183"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6">
        <f>IF(D11="","",((J11/10000)*V11*X11)*AD11)</f>
        <v>0</v>
      </c>
      <c r="AF11" s="297">
        <f>IF(D11="","",((K11/10000)*V11*X11)*AD11)</f>
        <v>2.4</v>
      </c>
      <c r="AG11" s="96">
        <f>IF(D11="","",M11)</f>
        <v>366.13000000000011</v>
      </c>
      <c r="AH11" s="509" t="str">
        <f>IF(T11="","",VLOOKUP(T11,'11. Lists'!$B$47:$D$49,3,FALSE))</f>
        <v>Same distinctiveness or better habitat required</v>
      </c>
      <c r="AI11" s="543"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3"/>
      <c r="C12" s="257"/>
      <c r="D12" s="824"/>
      <c r="E12" s="825"/>
      <c r="F12" s="767"/>
      <c r="G12" s="768"/>
      <c r="H12" s="769"/>
      <c r="I12" s="303"/>
      <c r="J12" s="304"/>
      <c r="K12" s="305"/>
      <c r="L12" s="299" t="str">
        <f t="shared" ref="L12:L30" si="0">IF(C12="","",IFERROR(IF(I12="","",((I12/10000)*V12*X12)*AD12),"Error ▲"))</f>
        <v/>
      </c>
      <c r="M12" s="299" t="str">
        <f t="shared" ref="M12:M30" si="1">IF(I12="","",IF(J12+K12&gt;I12,"Area Error ▲",I12-J12-K12))</f>
        <v/>
      </c>
      <c r="N12" s="354" t="str">
        <f t="shared" ref="N12:N30" si="2">IFERROR(IF(I12="","",IF(M12="Area Error ▲","Area Error ▲",((M12/10000)*V12*X12)*AD12)),"This intervention is not permitted within the SSM ▲")</f>
        <v/>
      </c>
      <c r="O12" s="68"/>
      <c r="P12" s="3"/>
      <c r="Q12" s="25"/>
      <c r="R12" s="655"/>
      <c r="S12" s="25"/>
      <c r="T12" s="664" t="str">
        <f>IF(C12="","",VLOOKUP(D12,'9. All Habitats + Multipliers'!$C$4:$K$102,5,FALSE))</f>
        <v/>
      </c>
      <c r="U12" s="665"/>
      <c r="V12" s="94" t="str">
        <f>IF(T12="","",VLOOKUP(T12,'11. Lists'!$B$47:$D$49,2,FALSE))</f>
        <v/>
      </c>
      <c r="W12" s="183"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6" t="str">
        <f t="shared" ref="AE12:AE30" si="3">IF(D12="","",((J12/10000)*V12*X12)*AD12)</f>
        <v/>
      </c>
      <c r="AF12" s="297" t="str">
        <f t="shared" ref="AF12:AF30" si="4">IF(D12="","",((K12/10000)*V12*X12)*AD12)</f>
        <v/>
      </c>
      <c r="AG12" s="96" t="str">
        <f t="shared" ref="AG12:AG31" si="5">IF(D12="","",M12)</f>
        <v/>
      </c>
      <c r="AH12" s="509" t="str">
        <f>IF(T12="","",VLOOKUP(T12,'11. Lists'!$B$47:$D$49,3,FALSE))</f>
        <v/>
      </c>
      <c r="AI12" s="543"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3"/>
      <c r="C13" s="257"/>
      <c r="D13" s="824"/>
      <c r="E13" s="825"/>
      <c r="F13" s="767"/>
      <c r="G13" s="768"/>
      <c r="H13" s="769"/>
      <c r="I13" s="303"/>
      <c r="J13" s="304"/>
      <c r="K13" s="305"/>
      <c r="L13" s="299" t="str">
        <f t="shared" si="0"/>
        <v/>
      </c>
      <c r="M13" s="299" t="str">
        <f t="shared" si="1"/>
        <v/>
      </c>
      <c r="N13" s="354" t="str">
        <f t="shared" si="2"/>
        <v/>
      </c>
      <c r="O13" s="68"/>
      <c r="P13" s="3"/>
      <c r="Q13" s="25"/>
      <c r="R13" s="655"/>
      <c r="S13" s="25"/>
      <c r="T13" s="664" t="str">
        <f>IF(C13="","",VLOOKUP(D13,'9. All Habitats + Multipliers'!$C$4:$K$102,5,FALSE))</f>
        <v/>
      </c>
      <c r="U13" s="665"/>
      <c r="V13" s="94" t="str">
        <f>IF(T13="","",VLOOKUP(T13,'11. Lists'!$B$47:$D$49,2,FALSE))</f>
        <v/>
      </c>
      <c r="W13" s="183"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6" t="str">
        <f t="shared" si="3"/>
        <v/>
      </c>
      <c r="AF13" s="297" t="str">
        <f t="shared" si="4"/>
        <v/>
      </c>
      <c r="AG13" s="96" t="str">
        <f t="shared" si="5"/>
        <v/>
      </c>
      <c r="AH13" s="509" t="str">
        <f>IF(T13="","",VLOOKUP(T13,'11. Lists'!$B$47:$D$49,3,FALSE))</f>
        <v/>
      </c>
      <c r="AI13" s="543"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3"/>
      <c r="C14" s="257"/>
      <c r="D14" s="722"/>
      <c r="E14" s="723"/>
      <c r="F14" s="767"/>
      <c r="G14" s="768"/>
      <c r="H14" s="769"/>
      <c r="I14" s="303"/>
      <c r="J14" s="304"/>
      <c r="K14" s="305"/>
      <c r="L14" s="299" t="str">
        <f t="shared" si="0"/>
        <v/>
      </c>
      <c r="M14" s="299" t="str">
        <f t="shared" si="1"/>
        <v/>
      </c>
      <c r="N14" s="354" t="str">
        <f t="shared" si="2"/>
        <v/>
      </c>
      <c r="O14" s="68"/>
      <c r="P14" s="3"/>
      <c r="Q14" s="25"/>
      <c r="R14" s="655"/>
      <c r="S14" s="25"/>
      <c r="T14" s="664" t="str">
        <f>IF(C14="","",VLOOKUP(D14,'9. All Habitats + Multipliers'!$C$4:$K$102,5,FALSE))</f>
        <v/>
      </c>
      <c r="U14" s="665"/>
      <c r="V14" s="94" t="str">
        <f>IF(T14="","",VLOOKUP(T14,'11. Lists'!$B$47:$D$49,2,FALSE))</f>
        <v/>
      </c>
      <c r="W14" s="183"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6" t="str">
        <f t="shared" si="3"/>
        <v/>
      </c>
      <c r="AF14" s="297" t="str">
        <f t="shared" si="4"/>
        <v/>
      </c>
      <c r="AG14" s="96" t="str">
        <f t="shared" si="5"/>
        <v/>
      </c>
      <c r="AH14" s="509" t="str">
        <f>IF(T14="","",VLOOKUP(T14,'11. Lists'!$B$47:$D$49,3,FALSE))</f>
        <v/>
      </c>
      <c r="AI14" s="543"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3"/>
      <c r="C15" s="257"/>
      <c r="D15" s="824"/>
      <c r="E15" s="825"/>
      <c r="F15" s="767"/>
      <c r="G15" s="768"/>
      <c r="H15" s="769"/>
      <c r="I15" s="303"/>
      <c r="J15" s="304"/>
      <c r="K15" s="305"/>
      <c r="L15" s="299" t="str">
        <f t="shared" si="0"/>
        <v/>
      </c>
      <c r="M15" s="299" t="str">
        <f t="shared" si="1"/>
        <v/>
      </c>
      <c r="N15" s="354" t="str">
        <f t="shared" si="2"/>
        <v/>
      </c>
      <c r="O15" s="68"/>
      <c r="P15" s="3"/>
      <c r="Q15" s="25"/>
      <c r="R15" s="655"/>
      <c r="S15" s="25"/>
      <c r="T15" s="664" t="str">
        <f>IF(C15="","",VLOOKUP(D15,'9. All Habitats + Multipliers'!$C$4:$K$102,5,FALSE))</f>
        <v/>
      </c>
      <c r="U15" s="665"/>
      <c r="V15" s="94" t="str">
        <f>IF(T15="","",VLOOKUP(T15,'11. Lists'!$B$47:$D$49,2,FALSE))</f>
        <v/>
      </c>
      <c r="W15" s="183"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6" t="str">
        <f t="shared" si="3"/>
        <v/>
      </c>
      <c r="AF15" s="297" t="str">
        <f t="shared" si="4"/>
        <v/>
      </c>
      <c r="AG15" s="96" t="str">
        <f t="shared" si="5"/>
        <v/>
      </c>
      <c r="AH15" s="509" t="str">
        <f>IF(T15="","",VLOOKUP(T15,'11. Lists'!$B$47:$D$49,3,FALSE))</f>
        <v/>
      </c>
      <c r="AI15" s="543"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3"/>
      <c r="C16" s="257"/>
      <c r="D16" s="824"/>
      <c r="E16" s="825"/>
      <c r="F16" s="767"/>
      <c r="G16" s="768"/>
      <c r="H16" s="769"/>
      <c r="I16" s="303"/>
      <c r="J16" s="304"/>
      <c r="K16" s="305"/>
      <c r="L16" s="299" t="str">
        <f t="shared" si="0"/>
        <v/>
      </c>
      <c r="M16" s="299" t="str">
        <f t="shared" si="1"/>
        <v/>
      </c>
      <c r="N16" s="354" t="str">
        <f t="shared" si="2"/>
        <v/>
      </c>
      <c r="O16" s="68"/>
      <c r="P16" s="3"/>
      <c r="Q16" s="25"/>
      <c r="R16" s="655"/>
      <c r="S16" s="25"/>
      <c r="T16" s="664" t="str">
        <f>IF(C16="","",VLOOKUP(D16,'9. All Habitats + Multipliers'!$C$4:$K$102,5,FALSE))</f>
        <v/>
      </c>
      <c r="U16" s="665"/>
      <c r="V16" s="94" t="str">
        <f>IF(T16="","",VLOOKUP(T16,'11. Lists'!$B$47:$D$49,2,FALSE))</f>
        <v/>
      </c>
      <c r="W16" s="183"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6" t="str">
        <f t="shared" si="3"/>
        <v/>
      </c>
      <c r="AF16" s="297" t="str">
        <f t="shared" si="4"/>
        <v/>
      </c>
      <c r="AG16" s="96" t="str">
        <f t="shared" si="5"/>
        <v/>
      </c>
      <c r="AH16" s="509" t="str">
        <f>IF(T16="","",VLOOKUP(T16,'11. Lists'!$B$47:$D$49,3,FALSE))</f>
        <v/>
      </c>
      <c r="AI16" s="543"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3"/>
      <c r="C17" s="257"/>
      <c r="D17" s="824"/>
      <c r="E17" s="825"/>
      <c r="F17" s="767"/>
      <c r="G17" s="768"/>
      <c r="H17" s="769"/>
      <c r="I17" s="303"/>
      <c r="J17" s="304"/>
      <c r="K17" s="305"/>
      <c r="L17" s="299" t="str">
        <f t="shared" si="0"/>
        <v/>
      </c>
      <c r="M17" s="299" t="str">
        <f t="shared" si="1"/>
        <v/>
      </c>
      <c r="N17" s="354" t="str">
        <f t="shared" si="2"/>
        <v/>
      </c>
      <c r="O17" s="68"/>
      <c r="P17" s="3"/>
      <c r="Q17" s="25"/>
      <c r="R17" s="655"/>
      <c r="S17" s="25"/>
      <c r="T17" s="664" t="str">
        <f>IF(C17="","",VLOOKUP(D17,'9. All Habitats + Multipliers'!$C$4:$K$102,5,FALSE))</f>
        <v/>
      </c>
      <c r="U17" s="665"/>
      <c r="V17" s="94" t="str">
        <f>IF(T17="","",VLOOKUP(T17,'11. Lists'!$B$47:$D$49,2,FALSE))</f>
        <v/>
      </c>
      <c r="W17" s="183"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6" t="str">
        <f t="shared" si="3"/>
        <v/>
      </c>
      <c r="AF17" s="297" t="str">
        <f t="shared" si="4"/>
        <v/>
      </c>
      <c r="AG17" s="96" t="str">
        <f t="shared" si="5"/>
        <v/>
      </c>
      <c r="AH17" s="509" t="str">
        <f>IF(T17="","",VLOOKUP(T17,'11. Lists'!$B$47:$D$49,3,FALSE))</f>
        <v/>
      </c>
      <c r="AI17" s="543"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3"/>
      <c r="C18" s="257"/>
      <c r="D18" s="824"/>
      <c r="E18" s="825"/>
      <c r="F18" s="767"/>
      <c r="G18" s="768"/>
      <c r="H18" s="769"/>
      <c r="I18" s="303"/>
      <c r="J18" s="304"/>
      <c r="K18" s="305"/>
      <c r="L18" s="299" t="str">
        <f t="shared" si="0"/>
        <v/>
      </c>
      <c r="M18" s="299" t="str">
        <f t="shared" si="1"/>
        <v/>
      </c>
      <c r="N18" s="354" t="str">
        <f t="shared" si="2"/>
        <v/>
      </c>
      <c r="O18" s="68"/>
      <c r="P18" s="3"/>
      <c r="Q18" s="25"/>
      <c r="R18" s="655"/>
      <c r="S18" s="25"/>
      <c r="T18" s="664" t="str">
        <f>IF(C18="","",VLOOKUP(D18,'9. All Habitats + Multipliers'!$C$4:$K$102,5,FALSE))</f>
        <v/>
      </c>
      <c r="U18" s="665"/>
      <c r="V18" s="94" t="str">
        <f>IF(T18="","",VLOOKUP(T18,'11. Lists'!$B$47:$D$49,2,FALSE))</f>
        <v/>
      </c>
      <c r="W18" s="183"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6" t="str">
        <f t="shared" si="3"/>
        <v/>
      </c>
      <c r="AF18" s="297" t="str">
        <f t="shared" si="4"/>
        <v/>
      </c>
      <c r="AG18" s="96" t="str">
        <f t="shared" si="5"/>
        <v/>
      </c>
      <c r="AH18" s="509" t="str">
        <f>IF(T18="","",VLOOKUP(T18,'11. Lists'!$B$47:$D$49,3,FALSE))</f>
        <v/>
      </c>
      <c r="AI18" s="543"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3"/>
      <c r="C19" s="257"/>
      <c r="D19" s="824"/>
      <c r="E19" s="825"/>
      <c r="F19" s="767"/>
      <c r="G19" s="768"/>
      <c r="H19" s="769"/>
      <c r="I19" s="303"/>
      <c r="J19" s="304"/>
      <c r="K19" s="305"/>
      <c r="L19" s="299" t="str">
        <f t="shared" si="0"/>
        <v/>
      </c>
      <c r="M19" s="299" t="str">
        <f t="shared" si="1"/>
        <v/>
      </c>
      <c r="N19" s="354" t="str">
        <f t="shared" si="2"/>
        <v/>
      </c>
      <c r="O19" s="68"/>
      <c r="P19" s="3"/>
      <c r="Q19" s="25"/>
      <c r="R19" s="655"/>
      <c r="S19" s="25"/>
      <c r="T19" s="664" t="str">
        <f>IF(C19="","",VLOOKUP(D19,'9. All Habitats + Multipliers'!$C$4:$K$102,5,FALSE))</f>
        <v/>
      </c>
      <c r="U19" s="665"/>
      <c r="V19" s="94" t="str">
        <f>IF(T19="","",VLOOKUP(T19,'11. Lists'!$B$47:$D$49,2,FALSE))</f>
        <v/>
      </c>
      <c r="W19" s="183"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6" t="str">
        <f t="shared" si="3"/>
        <v/>
      </c>
      <c r="AF19" s="297" t="str">
        <f t="shared" si="4"/>
        <v/>
      </c>
      <c r="AG19" s="96" t="str">
        <f t="shared" si="5"/>
        <v/>
      </c>
      <c r="AH19" s="509" t="str">
        <f>IF(T19="","",VLOOKUP(T19,'11. Lists'!$B$47:$D$49,3,FALSE))</f>
        <v/>
      </c>
      <c r="AI19" s="543"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3"/>
      <c r="C20" s="257"/>
      <c r="D20" s="824"/>
      <c r="E20" s="825"/>
      <c r="F20" s="767"/>
      <c r="G20" s="768"/>
      <c r="H20" s="769"/>
      <c r="I20" s="303"/>
      <c r="J20" s="304"/>
      <c r="K20" s="305"/>
      <c r="L20" s="299" t="str">
        <f t="shared" si="0"/>
        <v/>
      </c>
      <c r="M20" s="299" t="str">
        <f t="shared" si="1"/>
        <v/>
      </c>
      <c r="N20" s="354" t="str">
        <f t="shared" si="2"/>
        <v/>
      </c>
      <c r="O20" s="69"/>
      <c r="P20" s="8"/>
      <c r="Q20" s="25"/>
      <c r="R20" s="655"/>
      <c r="S20" s="25"/>
      <c r="T20" s="664" t="str">
        <f>IF(C20="","",VLOOKUP(D20,'9. All Habitats + Multipliers'!$C$4:$K$102,5,FALSE))</f>
        <v/>
      </c>
      <c r="U20" s="665"/>
      <c r="V20" s="94" t="str">
        <f>IF(T20="","",VLOOKUP(T20,'11. Lists'!$B$47:$D$49,2,FALSE))</f>
        <v/>
      </c>
      <c r="W20" s="183"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6" t="str">
        <f t="shared" si="3"/>
        <v/>
      </c>
      <c r="AF20" s="297" t="str">
        <f t="shared" si="4"/>
        <v/>
      </c>
      <c r="AG20" s="96" t="str">
        <f t="shared" si="5"/>
        <v/>
      </c>
      <c r="AH20" s="509" t="str">
        <f>IF(T20="","",VLOOKUP(T20,'11. Lists'!$B$47:$D$49,3,FALSE))</f>
        <v/>
      </c>
      <c r="AI20" s="543"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3"/>
      <c r="C21" s="257"/>
      <c r="D21" s="824"/>
      <c r="E21" s="825"/>
      <c r="F21" s="767"/>
      <c r="G21" s="768"/>
      <c r="H21" s="769"/>
      <c r="I21" s="303"/>
      <c r="J21" s="304"/>
      <c r="K21" s="305"/>
      <c r="L21" s="299" t="str">
        <f t="shared" si="0"/>
        <v/>
      </c>
      <c r="M21" s="299" t="str">
        <f t="shared" si="1"/>
        <v/>
      </c>
      <c r="N21" s="354" t="str">
        <f t="shared" si="2"/>
        <v/>
      </c>
      <c r="O21" s="69"/>
      <c r="P21" s="8"/>
      <c r="Q21" s="25"/>
      <c r="R21" s="655"/>
      <c r="S21" s="25"/>
      <c r="T21" s="664" t="str">
        <f>IF(C21="","",VLOOKUP(D21,'9. All Habitats + Multipliers'!$C$4:$K$102,5,FALSE))</f>
        <v/>
      </c>
      <c r="U21" s="665"/>
      <c r="V21" s="94" t="str">
        <f>IF(T21="","",VLOOKUP(T21,'11. Lists'!$B$47:$D$49,2,FALSE))</f>
        <v/>
      </c>
      <c r="W21" s="183"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6" t="str">
        <f t="shared" si="3"/>
        <v/>
      </c>
      <c r="AF21" s="297" t="str">
        <f t="shared" si="4"/>
        <v/>
      </c>
      <c r="AG21" s="96" t="str">
        <f t="shared" si="5"/>
        <v/>
      </c>
      <c r="AH21" s="509" t="str">
        <f>IF(T21="","",VLOOKUP(T21,'11. Lists'!$B$47:$D$49,3,FALSE))</f>
        <v/>
      </c>
      <c r="AI21" s="543"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3"/>
      <c r="C22" s="257"/>
      <c r="D22" s="824"/>
      <c r="E22" s="825"/>
      <c r="F22" s="767"/>
      <c r="G22" s="768"/>
      <c r="H22" s="769"/>
      <c r="I22" s="303"/>
      <c r="J22" s="304"/>
      <c r="K22" s="305"/>
      <c r="L22" s="299" t="str">
        <f t="shared" si="0"/>
        <v/>
      </c>
      <c r="M22" s="299" t="str">
        <f t="shared" si="1"/>
        <v/>
      </c>
      <c r="N22" s="354" t="str">
        <f t="shared" si="2"/>
        <v/>
      </c>
      <c r="O22" s="69"/>
      <c r="P22" s="8"/>
      <c r="Q22" s="25"/>
      <c r="R22" s="655"/>
      <c r="S22" s="25"/>
      <c r="T22" s="664" t="str">
        <f>IF(C22="","",VLOOKUP(D22,'9. All Habitats + Multipliers'!$C$4:$K$102,5,FALSE))</f>
        <v/>
      </c>
      <c r="U22" s="665"/>
      <c r="V22" s="94" t="str">
        <f>IF(T22="","",VLOOKUP(T22,'11. Lists'!$B$47:$D$49,2,FALSE))</f>
        <v/>
      </c>
      <c r="W22" s="183"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6" t="str">
        <f t="shared" si="3"/>
        <v/>
      </c>
      <c r="AF22" s="297" t="str">
        <f t="shared" si="4"/>
        <v/>
      </c>
      <c r="AG22" s="96" t="str">
        <f t="shared" si="5"/>
        <v/>
      </c>
      <c r="AH22" s="509" t="str">
        <f>IF(T22="","",VLOOKUP(T22,'11. Lists'!$B$47:$D$49,3,FALSE))</f>
        <v/>
      </c>
      <c r="AI22" s="543"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3"/>
      <c r="C23" s="258"/>
      <c r="D23" s="824"/>
      <c r="E23" s="825"/>
      <c r="F23" s="767"/>
      <c r="G23" s="768"/>
      <c r="H23" s="769"/>
      <c r="I23" s="303"/>
      <c r="J23" s="304"/>
      <c r="K23" s="305"/>
      <c r="L23" s="299" t="str">
        <f t="shared" si="0"/>
        <v/>
      </c>
      <c r="M23" s="299" t="str">
        <f t="shared" si="1"/>
        <v/>
      </c>
      <c r="N23" s="354" t="str">
        <f t="shared" si="2"/>
        <v/>
      </c>
      <c r="O23" s="69"/>
      <c r="P23" s="8"/>
      <c r="Q23" s="25"/>
      <c r="R23" s="655"/>
      <c r="S23" s="25"/>
      <c r="T23" s="664" t="str">
        <f>IF(C23="","",VLOOKUP(D23,'9. All Habitats + Multipliers'!$C$4:$K$102,5,FALSE))</f>
        <v/>
      </c>
      <c r="U23" s="665"/>
      <c r="V23" s="94" t="str">
        <f>IF(T23="","",VLOOKUP(T23,'11. Lists'!$B$47:$D$49,2,FALSE))</f>
        <v/>
      </c>
      <c r="W23" s="183"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6" t="str">
        <f t="shared" si="3"/>
        <v/>
      </c>
      <c r="AF23" s="297" t="str">
        <f t="shared" si="4"/>
        <v/>
      </c>
      <c r="AG23" s="96" t="str">
        <f t="shared" si="5"/>
        <v/>
      </c>
      <c r="AH23" s="509" t="str">
        <f>IF(T23="","",VLOOKUP(T23,'11. Lists'!$B$47:$D$49,3,FALSE))</f>
        <v/>
      </c>
      <c r="AI23" s="543"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3"/>
      <c r="C24" s="258"/>
      <c r="D24" s="824"/>
      <c r="E24" s="825"/>
      <c r="F24" s="767"/>
      <c r="G24" s="768"/>
      <c r="H24" s="769"/>
      <c r="I24" s="303"/>
      <c r="J24" s="304"/>
      <c r="K24" s="305"/>
      <c r="L24" s="299" t="str">
        <f t="shared" si="0"/>
        <v/>
      </c>
      <c r="M24" s="299" t="str">
        <f t="shared" si="1"/>
        <v/>
      </c>
      <c r="N24" s="354" t="str">
        <f t="shared" si="2"/>
        <v/>
      </c>
      <c r="O24" s="69"/>
      <c r="P24" s="8"/>
      <c r="Q24" s="25"/>
      <c r="R24" s="655"/>
      <c r="S24" s="25"/>
      <c r="T24" s="664" t="str">
        <f>IF(C24="","",VLOOKUP(D24,'9. All Habitats + Multipliers'!$C$4:$K$102,5,FALSE))</f>
        <v/>
      </c>
      <c r="U24" s="665"/>
      <c r="V24" s="94" t="str">
        <f>IF(T24="","",VLOOKUP(T24,'11. Lists'!$B$47:$D$49,2,FALSE))</f>
        <v/>
      </c>
      <c r="W24" s="183"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6" t="str">
        <f t="shared" si="3"/>
        <v/>
      </c>
      <c r="AF24" s="297" t="str">
        <f t="shared" si="4"/>
        <v/>
      </c>
      <c r="AG24" s="96" t="str">
        <f t="shared" si="5"/>
        <v/>
      </c>
      <c r="AH24" s="509" t="str">
        <f>IF(T24="","",VLOOKUP(T24,'11. Lists'!$B$47:$D$49,3,FALSE))</f>
        <v/>
      </c>
      <c r="AI24" s="543"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3"/>
      <c r="C25" s="258"/>
      <c r="D25" s="824"/>
      <c r="E25" s="825"/>
      <c r="F25" s="767"/>
      <c r="G25" s="768"/>
      <c r="H25" s="769"/>
      <c r="I25" s="303"/>
      <c r="J25" s="304"/>
      <c r="K25" s="305"/>
      <c r="L25" s="299" t="str">
        <f t="shared" si="0"/>
        <v/>
      </c>
      <c r="M25" s="299" t="str">
        <f t="shared" si="1"/>
        <v/>
      </c>
      <c r="N25" s="354" t="str">
        <f t="shared" si="2"/>
        <v/>
      </c>
      <c r="O25" s="69"/>
      <c r="P25" s="8"/>
      <c r="Q25" s="25"/>
      <c r="R25" s="655"/>
      <c r="S25" s="25"/>
      <c r="T25" s="664" t="str">
        <f>IF(C25="","",VLOOKUP(D25,'9. All Habitats + Multipliers'!$C$4:$K$102,5,FALSE))</f>
        <v/>
      </c>
      <c r="U25" s="665"/>
      <c r="V25" s="94" t="str">
        <f>IF(T25="","",VLOOKUP(T25,'11. Lists'!$B$47:$D$49,2,FALSE))</f>
        <v/>
      </c>
      <c r="W25" s="183"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6" t="str">
        <f t="shared" si="3"/>
        <v/>
      </c>
      <c r="AF25" s="297" t="str">
        <f t="shared" si="4"/>
        <v/>
      </c>
      <c r="AG25" s="96" t="str">
        <f t="shared" si="5"/>
        <v/>
      </c>
      <c r="AH25" s="509" t="str">
        <f>IF(T25="","",VLOOKUP(T25,'11. Lists'!$B$47:$D$49,3,FALSE))</f>
        <v/>
      </c>
      <c r="AI25" s="543"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3"/>
      <c r="C26" s="258"/>
      <c r="D26" s="824"/>
      <c r="E26" s="825"/>
      <c r="F26" s="767"/>
      <c r="G26" s="768"/>
      <c r="H26" s="769"/>
      <c r="I26" s="303"/>
      <c r="J26" s="304"/>
      <c r="K26" s="305"/>
      <c r="L26" s="299" t="str">
        <f t="shared" si="0"/>
        <v/>
      </c>
      <c r="M26" s="299" t="str">
        <f t="shared" si="1"/>
        <v/>
      </c>
      <c r="N26" s="354" t="str">
        <f t="shared" si="2"/>
        <v/>
      </c>
      <c r="O26" s="69"/>
      <c r="P26" s="8"/>
      <c r="Q26" s="25"/>
      <c r="R26" s="655"/>
      <c r="S26" s="25"/>
      <c r="T26" s="664" t="str">
        <f>IF(C26="","",VLOOKUP(D26,'9. All Habitats + Multipliers'!$C$4:$K$102,5,FALSE))</f>
        <v/>
      </c>
      <c r="U26" s="665"/>
      <c r="V26" s="94" t="str">
        <f>IF(T26="","",VLOOKUP(T26,'11. Lists'!$B$47:$D$49,2,FALSE))</f>
        <v/>
      </c>
      <c r="W26" s="183"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6" t="str">
        <f t="shared" si="3"/>
        <v/>
      </c>
      <c r="AF26" s="297" t="str">
        <f t="shared" si="4"/>
        <v/>
      </c>
      <c r="AG26" s="96" t="str">
        <f t="shared" si="5"/>
        <v/>
      </c>
      <c r="AH26" s="509" t="str">
        <f>IF(T26="","",VLOOKUP(T26,'11. Lists'!$B$47:$D$49,3,FALSE))</f>
        <v/>
      </c>
      <c r="AI26" s="543"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3"/>
      <c r="C27" s="258"/>
      <c r="D27" s="824"/>
      <c r="E27" s="825"/>
      <c r="F27" s="767"/>
      <c r="G27" s="768"/>
      <c r="H27" s="769"/>
      <c r="I27" s="303"/>
      <c r="J27" s="304"/>
      <c r="K27" s="305"/>
      <c r="L27" s="299" t="str">
        <f t="shared" si="0"/>
        <v/>
      </c>
      <c r="M27" s="299" t="str">
        <f t="shared" si="1"/>
        <v/>
      </c>
      <c r="N27" s="354" t="str">
        <f t="shared" si="2"/>
        <v/>
      </c>
      <c r="O27" s="69"/>
      <c r="P27" s="8"/>
      <c r="Q27" s="25"/>
      <c r="R27" s="655"/>
      <c r="S27" s="25"/>
      <c r="T27" s="664" t="str">
        <f>IF(C27="","",VLOOKUP(D27,'9. All Habitats + Multipliers'!$C$4:$K$102,5,FALSE))</f>
        <v/>
      </c>
      <c r="U27" s="665"/>
      <c r="V27" s="94" t="str">
        <f>IF(T27="","",VLOOKUP(T27,'11. Lists'!$B$47:$D$49,2,FALSE))</f>
        <v/>
      </c>
      <c r="W27" s="183"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6" t="str">
        <f t="shared" si="3"/>
        <v/>
      </c>
      <c r="AF27" s="297" t="str">
        <f t="shared" si="4"/>
        <v/>
      </c>
      <c r="AG27" s="96" t="str">
        <f t="shared" si="5"/>
        <v/>
      </c>
      <c r="AH27" s="509" t="str">
        <f>IF(T27="","",VLOOKUP(T27,'11. Lists'!$B$47:$D$49,3,FALSE))</f>
        <v/>
      </c>
      <c r="AI27" s="543"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3"/>
      <c r="C28" s="258"/>
      <c r="D28" s="824"/>
      <c r="E28" s="825"/>
      <c r="F28" s="767"/>
      <c r="G28" s="768"/>
      <c r="H28" s="769"/>
      <c r="I28" s="303"/>
      <c r="J28" s="304"/>
      <c r="K28" s="305"/>
      <c r="L28" s="299" t="str">
        <f t="shared" si="0"/>
        <v/>
      </c>
      <c r="M28" s="299" t="str">
        <f t="shared" si="1"/>
        <v/>
      </c>
      <c r="N28" s="354" t="str">
        <f t="shared" si="2"/>
        <v/>
      </c>
      <c r="O28" s="69"/>
      <c r="P28" s="8"/>
      <c r="Q28" s="25"/>
      <c r="R28" s="655"/>
      <c r="S28" s="25"/>
      <c r="T28" s="664" t="str">
        <f>IF(C28="","",VLOOKUP(D28,'9. All Habitats + Multipliers'!$C$4:$K$102,5,FALSE))</f>
        <v/>
      </c>
      <c r="U28" s="665"/>
      <c r="V28" s="94" t="str">
        <f>IF(T28="","",VLOOKUP(T28,'11. Lists'!$B$47:$D$49,2,FALSE))</f>
        <v/>
      </c>
      <c r="W28" s="183"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6" t="str">
        <f t="shared" si="3"/>
        <v/>
      </c>
      <c r="AF28" s="297" t="str">
        <f t="shared" si="4"/>
        <v/>
      </c>
      <c r="AG28" s="96" t="str">
        <f t="shared" si="5"/>
        <v/>
      </c>
      <c r="AH28" s="509" t="str">
        <f>IF(T28="","",VLOOKUP(T28,'11. Lists'!$B$47:$D$49,3,FALSE))</f>
        <v/>
      </c>
      <c r="AI28" s="543"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3"/>
      <c r="C29" s="258"/>
      <c r="D29" s="824"/>
      <c r="E29" s="825"/>
      <c r="F29" s="767"/>
      <c r="G29" s="768"/>
      <c r="H29" s="769"/>
      <c r="I29" s="303"/>
      <c r="J29" s="304"/>
      <c r="K29" s="305"/>
      <c r="L29" s="299" t="str">
        <f t="shared" si="0"/>
        <v/>
      </c>
      <c r="M29" s="299" t="str">
        <f t="shared" si="1"/>
        <v/>
      </c>
      <c r="N29" s="354" t="str">
        <f t="shared" si="2"/>
        <v/>
      </c>
      <c r="O29" s="69"/>
      <c r="P29" s="8"/>
      <c r="Q29" s="25"/>
      <c r="R29" s="655"/>
      <c r="S29" s="25"/>
      <c r="T29" s="664" t="str">
        <f>IF(C29="","",VLOOKUP(D29,'9. All Habitats + Multipliers'!$C$4:$K$102,5,FALSE))</f>
        <v/>
      </c>
      <c r="U29" s="665"/>
      <c r="V29" s="94" t="str">
        <f>IF(T29="","",VLOOKUP(T29,'11. Lists'!$B$47:$D$49,2,FALSE))</f>
        <v/>
      </c>
      <c r="W29" s="183"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6" t="str">
        <f t="shared" si="3"/>
        <v/>
      </c>
      <c r="AF29" s="297" t="str">
        <f t="shared" si="4"/>
        <v/>
      </c>
      <c r="AG29" s="96" t="str">
        <f t="shared" si="5"/>
        <v/>
      </c>
      <c r="AH29" s="509" t="str">
        <f>IF(T29="","",VLOOKUP(T29,'11. Lists'!$B$47:$D$49,3,FALSE))</f>
        <v/>
      </c>
      <c r="AI29" s="543"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5.75">
      <c r="A30" s="25"/>
      <c r="B30" s="264"/>
      <c r="C30" s="257"/>
      <c r="D30" s="833"/>
      <c r="E30" s="834"/>
      <c r="F30" s="767"/>
      <c r="G30" s="768"/>
      <c r="H30" s="769"/>
      <c r="I30" s="303"/>
      <c r="J30" s="304"/>
      <c r="K30" s="305"/>
      <c r="L30" s="408" t="str">
        <f t="shared" si="0"/>
        <v/>
      </c>
      <c r="M30" s="408" t="str">
        <f t="shared" si="1"/>
        <v/>
      </c>
      <c r="N30" s="409" t="str">
        <f t="shared" si="2"/>
        <v/>
      </c>
      <c r="O30" s="70"/>
      <c r="P30" s="4"/>
      <c r="Q30" s="25"/>
      <c r="R30" s="655"/>
      <c r="S30" s="25"/>
      <c r="T30" s="664" t="str">
        <f>IF(C30="","",VLOOKUP(D30,'9. All Habitats + Multipliers'!$C$4:$K$102,5,FALSE))</f>
        <v/>
      </c>
      <c r="U30" s="665"/>
      <c r="V30" s="94" t="str">
        <f>IF(T30="","",VLOOKUP(T30,'11. Lists'!$B$47:$D$49,2,FALSE))</f>
        <v/>
      </c>
      <c r="W30" s="183"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6" t="str">
        <f t="shared" si="3"/>
        <v/>
      </c>
      <c r="AF30" s="297" t="str">
        <f t="shared" si="4"/>
        <v/>
      </c>
      <c r="AG30" s="96" t="str">
        <f t="shared" si="5"/>
        <v/>
      </c>
      <c r="AH30" s="509" t="str">
        <f>IF(T30="","",VLOOKUP(T30,'11. Lists'!$B$47:$D$49,3,FALSE))</f>
        <v/>
      </c>
      <c r="AI30" s="543"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
      <c r="A31" s="25"/>
      <c r="B31" s="264" t="s">
        <v>102</v>
      </c>
      <c r="C31" s="97" t="s">
        <v>103</v>
      </c>
      <c r="D31" s="832" t="s">
        <v>104</v>
      </c>
      <c r="E31" s="748"/>
      <c r="F31" s="782" t="s">
        <v>105</v>
      </c>
      <c r="G31" s="783"/>
      <c r="H31" s="784"/>
      <c r="I31" s="322">
        <f>I99</f>
        <v>0</v>
      </c>
      <c r="J31" s="323">
        <f>L99</f>
        <v>0</v>
      </c>
      <c r="K31" s="424"/>
      <c r="L31" s="403">
        <f>IF(C31="","",((I31/10000)*V31*X31)*AD31)</f>
        <v>0</v>
      </c>
      <c r="M31" s="410">
        <f>IF(C31="","",I31-J31-K31)</f>
        <v>0</v>
      </c>
      <c r="N31" s="411">
        <f>IF(C31="","",((M31/10000)*V31*X31)*AD31)</f>
        <v>0</v>
      </c>
      <c r="O31" s="13"/>
      <c r="P31" s="14"/>
      <c r="Q31" s="25"/>
      <c r="R31" s="655"/>
      <c r="S31" s="25"/>
      <c r="T31" s="666" t="str">
        <f>IF(C31="","",VLOOKUP(D31,'9. All Habitats + Multipliers'!$C$4:$K$102,5,FALSE))</f>
        <v>Medium</v>
      </c>
      <c r="U31" s="667"/>
      <c r="V31" s="99">
        <f>IF(T31="","",VLOOKUP(T31,'11. Lists'!$B$47:$D$49,2,FALSE))</f>
        <v>4</v>
      </c>
      <c r="W31" s="343"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2">
        <f>IF(D31="","",((J31/10000)*V31*X31)*(AD31))</f>
        <v>0</v>
      </c>
      <c r="AF31" s="101">
        <f>IF(D31="","",((K31/10000)*V31*X31)*(AD31))</f>
        <v>0</v>
      </c>
      <c r="AG31" s="102">
        <f t="shared" si="5"/>
        <v>0</v>
      </c>
      <c r="AH31" s="510" t="str">
        <f>IF(T31="","",VLOOKUP(T31,'11. Lists'!$B$47:$D$49,3,FALSE))</f>
        <v>Same broad habitat or a higher distinctiveness habitat required</v>
      </c>
      <c r="AI31" s="543"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c r="D32" s="89"/>
      <c r="E32" s="103"/>
      <c r="F32" s="103"/>
      <c r="G32" s="103"/>
      <c r="H32" s="497" t="s">
        <v>106</v>
      </c>
      <c r="I32" s="324">
        <f>SUMIFS(I11:I30,D11:D30,"&lt;&gt;"&amp;'11. Lists'!Q10,D11:D30,"&lt;&gt;"&amp;'11. Lists'!Q11,D11:D30,"&lt;&gt;"&amp;'11. Lists'!I4,D11:D30,"&lt;&gt;"&amp;'11. Lists'!I2,D11:D30,"&lt;&gt;"&amp;'11. Lists'!I3)</f>
        <v>6366.13</v>
      </c>
      <c r="J32" s="325">
        <f>SUMIFS(J11:J30,D11:D30,"&lt;&gt;"&amp;'11. Lists'!Q10,D11:D30,"&lt;&gt;"&amp;'11. Lists'!Q11,D11:D30,"&lt;&gt;"&amp;'11. Lists'!I4,D11:D30,"&lt;&gt;"&amp;'11. Lists'!I2,D11:D30,"&lt;&gt;"&amp;'11. Lists'!I3)</f>
        <v>0</v>
      </c>
      <c r="K32" s="326">
        <f>SUMIFS(K11:K30,D11:D30,"&lt;&gt;"&amp;'11. Lists'!Q10,D11:D30,"&lt;&gt;"&amp;'11. Lists'!Q11,D11:D30,"&lt;&gt;"&amp;'11. Lists'!I4,D11:D30,"&lt;&gt;"&amp;'11. Lists'!I2,D11:D30,"&lt;&gt;"&amp;'11. Lists'!I3)</f>
        <v>6000</v>
      </c>
      <c r="L32" s="278">
        <f>SUM(L11:L31)</f>
        <v>2.5464519999999999</v>
      </c>
      <c r="M32" s="317">
        <f>SUMIFS(M11:M30,D11:D30,"&lt;&gt;"&amp;'11. Lists'!Q10,D11:D30,"&lt;&gt;"&amp;'11. Lists'!Q11,D11:D30,"&lt;&gt;"&amp;'11. Lists'!I4,D11:D30,"&lt;&gt;"&amp;'11. Lists'!I2,D11:D30,"&lt;&gt;"&amp;'11. Lists'!I3)</f>
        <v>366.13000000000011</v>
      </c>
      <c r="N32" s="279">
        <f>SUM(N11:N31)</f>
        <v>0.14645200000000005</v>
      </c>
      <c r="R32" s="655"/>
    </row>
    <row r="33" spans="1:76" s="25" customFormat="1" ht="28.5">
      <c r="D33" s="89"/>
      <c r="E33" s="103"/>
      <c r="F33" s="103"/>
      <c r="G33" s="103"/>
      <c r="H33" s="280" t="s">
        <v>107</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1:76" s="25" customFormat="1" ht="28.5">
      <c r="D34" s="89"/>
      <c r="E34" s="103"/>
      <c r="F34" s="103"/>
      <c r="G34" s="103"/>
      <c r="H34" s="281" t="s">
        <v>108</v>
      </c>
      <c r="I34" s="790" t="str">
        <f>IF(I32&lt;J32+K32,"Error - Areas Retained and Enhanced Exceed Total Area ▲","Areas Acceptable ✓")</f>
        <v>Areas Acceptable ✓</v>
      </c>
      <c r="J34" s="790"/>
      <c r="K34" s="790"/>
      <c r="L34" s="790"/>
      <c r="M34" s="790"/>
      <c r="N34" s="791"/>
      <c r="O34" s="157">
        <f>IFERROR(FIND("Error",I34),0)</f>
        <v>0</v>
      </c>
      <c r="R34" s="104"/>
    </row>
    <row r="35" spans="1:76" s="25" customFormat="1">
      <c r="D35" s="89"/>
      <c r="E35" s="103"/>
      <c r="F35" s="103"/>
      <c r="G35" s="103"/>
      <c r="H35" s="271" t="s">
        <v>109</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5" t="s">
        <v>65</v>
      </c>
    </row>
    <row r="36" spans="1:76" s="25" customFormat="1" ht="21">
      <c r="B36" s="57" t="s">
        <v>110</v>
      </c>
      <c r="D36" s="88"/>
      <c r="E36" s="103"/>
      <c r="F36" s="103"/>
      <c r="G36" s="103"/>
      <c r="I36" s="26"/>
      <c r="O36" s="157">
        <f>COUNTIF(L11:N30,"*"&amp;"error"&amp;"*")</f>
        <v>0</v>
      </c>
      <c r="R36" s="655"/>
    </row>
    <row r="37" spans="1:76" s="25" customFormat="1" ht="15.75" customHeight="1">
      <c r="R37" s="655"/>
    </row>
    <row r="38" spans="1:76" s="25" customFormat="1" ht="16.149999999999999" customHeight="1">
      <c r="B38" s="736" t="s">
        <v>60</v>
      </c>
      <c r="C38" s="727"/>
      <c r="D38" s="739"/>
      <c r="E38" s="726" t="s">
        <v>111</v>
      </c>
      <c r="F38" s="785"/>
      <c r="G38" s="728"/>
      <c r="H38" s="785" t="s">
        <v>112</v>
      </c>
      <c r="I38" s="757" t="s">
        <v>113</v>
      </c>
      <c r="J38" s="758"/>
      <c r="K38" s="759"/>
      <c r="L38" s="770" t="s">
        <v>114</v>
      </c>
      <c r="M38" s="727"/>
      <c r="N38" s="739"/>
      <c r="O38" s="726" t="s">
        <v>78</v>
      </c>
      <c r="P38" s="728"/>
      <c r="R38" s="655"/>
      <c r="T38" s="683" t="s">
        <v>79</v>
      </c>
      <c r="U38" s="684"/>
      <c r="V38" s="685"/>
      <c r="W38" s="763" t="s">
        <v>80</v>
      </c>
      <c r="X38" s="685"/>
      <c r="Y38" s="764"/>
      <c r="Z38" s="764"/>
      <c r="AA38" s="764"/>
      <c r="AB38" s="683" t="s">
        <v>81</v>
      </c>
      <c r="AC38" s="684"/>
      <c r="AD38" s="685"/>
      <c r="AE38" s="683" t="s">
        <v>115</v>
      </c>
      <c r="AF38" s="685"/>
      <c r="AG38" s="683" t="s">
        <v>116</v>
      </c>
      <c r="AH38" s="685"/>
    </row>
    <row r="39" spans="1:76" s="25" customFormat="1" ht="31.5">
      <c r="B39" s="737"/>
      <c r="C39" s="196" t="s">
        <v>85</v>
      </c>
      <c r="D39" s="197" t="s">
        <v>117</v>
      </c>
      <c r="E39" s="86" t="s">
        <v>118</v>
      </c>
      <c r="F39" s="724" t="s">
        <v>119</v>
      </c>
      <c r="G39" s="725"/>
      <c r="H39" s="786"/>
      <c r="I39" s="760"/>
      <c r="J39" s="761"/>
      <c r="K39" s="762"/>
      <c r="L39" s="771"/>
      <c r="M39" s="772"/>
      <c r="N39" s="724"/>
      <c r="O39" s="86" t="s">
        <v>93</v>
      </c>
      <c r="P39" s="90" t="s">
        <v>94</v>
      </c>
      <c r="R39" s="655"/>
      <c r="T39" s="681" t="s">
        <v>95</v>
      </c>
      <c r="U39" s="682"/>
      <c r="V39" s="92" t="s">
        <v>96</v>
      </c>
      <c r="W39" s="332" t="s">
        <v>97</v>
      </c>
      <c r="X39" s="92" t="s">
        <v>96</v>
      </c>
      <c r="Y39" s="344"/>
      <c r="Z39" s="344"/>
      <c r="AA39" s="344"/>
      <c r="AB39" s="91" t="s">
        <v>81</v>
      </c>
      <c r="AC39" s="49" t="s">
        <v>81</v>
      </c>
      <c r="AD39" s="92" t="s">
        <v>98</v>
      </c>
      <c r="AE39" s="91" t="s">
        <v>120</v>
      </c>
      <c r="AF39" s="92" t="s">
        <v>121</v>
      </c>
      <c r="AG39" s="91" t="s">
        <v>122</v>
      </c>
      <c r="AH39" s="92" t="s">
        <v>123</v>
      </c>
    </row>
    <row r="40" spans="1:76" s="25" customFormat="1" ht="45">
      <c r="A40"/>
      <c r="B40" s="262">
        <v>1</v>
      </c>
      <c r="C40" s="76" t="s">
        <v>221</v>
      </c>
      <c r="D40" s="73" t="s">
        <v>348</v>
      </c>
      <c r="E40" s="340" t="str">
        <f>IF(D40="","",VLOOKUP(D40,'10. Condition and Temporal'!$B$6:$D$103,3,FALSE))</f>
        <v>N/A - Other</v>
      </c>
      <c r="F40" s="826" t="s">
        <v>401</v>
      </c>
      <c r="G40" s="827"/>
      <c r="H40" s="72" t="s">
        <v>125</v>
      </c>
      <c r="I40" s="719">
        <v>366.13</v>
      </c>
      <c r="J40" s="720"/>
      <c r="K40" s="721"/>
      <c r="L40" s="712">
        <f>IF(C40="","",IFERROR(IF(I40="","",((I40/10000)*(V40*X40))*(AH40*AF40)*AD40),"This intervention is not permitted within the SSM ▲"))</f>
        <v>0</v>
      </c>
      <c r="M40" s="689"/>
      <c r="N40" s="713"/>
      <c r="O40" s="2" t="s">
        <v>1072</v>
      </c>
      <c r="P40" s="1"/>
      <c r="Q40" s="106"/>
      <c r="R40" s="655"/>
      <c r="S40"/>
      <c r="T40" s="664" t="str">
        <f>IF(C40="","",VLOOKUP(D40,'9. All Habitats + Multipliers'!$C$4:$K$102,5,FALSE))</f>
        <v>V.Low</v>
      </c>
      <c r="U40" s="665"/>
      <c r="V40" s="94">
        <f>IF(T40="","",VLOOKUP(T40,'11. Lists'!$B$47:$D$49,2,FALSE))</f>
        <v>0</v>
      </c>
      <c r="W40" s="183"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row>
    <row r="41" spans="1:76" s="25" customFormat="1" ht="15.75">
      <c r="B41" s="263"/>
      <c r="C41" s="77"/>
      <c r="D41" s="73"/>
      <c r="E41" s="340"/>
      <c r="F41" s="710"/>
      <c r="G41" s="711"/>
      <c r="H41" s="71"/>
      <c r="I41" s="719"/>
      <c r="J41" s="720"/>
      <c r="K41" s="721"/>
      <c r="L41" s="712" t="str">
        <f t="shared" ref="L41:L59" si="7">IF(C41="","",IFERROR(IF(I41="","",((I41/10000)*(V41*X41))*(AH41*AF41)*AD41),"This intervention is not permitted within the SSM ▲"))</f>
        <v/>
      </c>
      <c r="M41" s="689"/>
      <c r="N41" s="713"/>
      <c r="O41" s="61"/>
      <c r="P41" s="12"/>
      <c r="Q41" s="106"/>
      <c r="R41" s="655"/>
      <c r="T41" s="664" t="str">
        <f>IF(C41="","",VLOOKUP(D41,'9. All Habitats + Multipliers'!$C$4:$K$102,5,FALSE))</f>
        <v/>
      </c>
      <c r="U41" s="665"/>
      <c r="V41" s="94" t="str">
        <f>IF(T41="","",VLOOKUP(T41,'11. Lists'!$B$47:$D$49,2,FALSE))</f>
        <v/>
      </c>
      <c r="W41" s="183"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1:76" s="25" customFormat="1" ht="15.75">
      <c r="B42" s="263"/>
      <c r="C42" s="77"/>
      <c r="D42" s="73"/>
      <c r="E42" s="340"/>
      <c r="F42" s="710"/>
      <c r="G42" s="711"/>
      <c r="H42" s="71"/>
      <c r="I42" s="719"/>
      <c r="J42" s="720"/>
      <c r="K42" s="721"/>
      <c r="L42" s="712" t="str">
        <f t="shared" si="7"/>
        <v/>
      </c>
      <c r="M42" s="689"/>
      <c r="N42" s="713"/>
      <c r="O42" s="61"/>
      <c r="P42" s="12"/>
      <c r="Q42" s="106"/>
      <c r="R42" s="655"/>
      <c r="T42" s="664" t="str">
        <f>IF(C42="","",VLOOKUP(D42,'9. All Habitats + Multipliers'!$C$4:$K$102,5,FALSE))</f>
        <v/>
      </c>
      <c r="U42" s="665"/>
      <c r="V42" s="94" t="str">
        <f>IF(T42="","",VLOOKUP(T42,'11. Lists'!$B$47:$D$49,2,FALSE))</f>
        <v/>
      </c>
      <c r="W42" s="183"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1:76" s="25" customFormat="1" ht="15.75">
      <c r="B43" s="263"/>
      <c r="C43" s="77"/>
      <c r="D43" s="73"/>
      <c r="E43" s="340"/>
      <c r="F43" s="710"/>
      <c r="G43" s="711"/>
      <c r="H43" s="71"/>
      <c r="I43" s="719"/>
      <c r="J43" s="720"/>
      <c r="K43" s="721"/>
      <c r="L43" s="712" t="str">
        <f t="shared" si="7"/>
        <v/>
      </c>
      <c r="M43" s="689"/>
      <c r="N43" s="713"/>
      <c r="O43" s="61"/>
      <c r="P43" s="12"/>
      <c r="Q43" s="106"/>
      <c r="R43" s="655"/>
      <c r="T43" s="664" t="str">
        <f>IF(C43="","",VLOOKUP(D43,'9. All Habitats + Multipliers'!$C$4:$K$102,5,FALSE))</f>
        <v/>
      </c>
      <c r="U43" s="665"/>
      <c r="V43" s="94" t="str">
        <f>IF(T43="","",VLOOKUP(T43,'11. Lists'!$B$47:$D$49,2,FALSE))</f>
        <v/>
      </c>
      <c r="W43" s="183"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1:76" s="25" customFormat="1" ht="15.75">
      <c r="B44" s="263"/>
      <c r="C44" s="77"/>
      <c r="D44" s="73"/>
      <c r="E44" s="340"/>
      <c r="F44" s="710"/>
      <c r="G44" s="711"/>
      <c r="H44" s="71"/>
      <c r="I44" s="719"/>
      <c r="J44" s="720"/>
      <c r="K44" s="721"/>
      <c r="L44" s="712" t="str">
        <f t="shared" si="7"/>
        <v/>
      </c>
      <c r="M44" s="689"/>
      <c r="N44" s="713"/>
      <c r="O44" s="61"/>
      <c r="P44" s="12"/>
      <c r="R44" s="655"/>
      <c r="T44" s="664" t="str">
        <f>IF(C44="","",VLOOKUP(D44,'9. All Habitats + Multipliers'!$C$4:$K$102,5,FALSE))</f>
        <v/>
      </c>
      <c r="U44" s="665"/>
      <c r="V44" s="94" t="str">
        <f>IF(T44="","",VLOOKUP(T44,'11. Lists'!$B$47:$D$49,2,FALSE))</f>
        <v/>
      </c>
      <c r="W44" s="183"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1:76" s="25" customFormat="1" ht="15.75">
      <c r="B45" s="263"/>
      <c r="C45" s="77"/>
      <c r="D45" s="73"/>
      <c r="E45" s="340"/>
      <c r="F45" s="710"/>
      <c r="G45" s="711"/>
      <c r="H45" s="71"/>
      <c r="I45" s="719"/>
      <c r="J45" s="720"/>
      <c r="K45" s="721"/>
      <c r="L45" s="712" t="str">
        <f t="shared" si="7"/>
        <v/>
      </c>
      <c r="M45" s="689"/>
      <c r="N45" s="713"/>
      <c r="O45" s="61"/>
      <c r="P45" s="12"/>
      <c r="R45" s="655"/>
      <c r="T45" s="664" t="str">
        <f>IF(C45="","",VLOOKUP(D45,'9. All Habitats + Multipliers'!$C$4:$K$102,5,FALSE))</f>
        <v/>
      </c>
      <c r="U45" s="665"/>
      <c r="V45" s="94" t="str">
        <f>IF(T45="","",VLOOKUP(T45,'11. Lists'!$B$47:$D$49,2,FALSE))</f>
        <v/>
      </c>
      <c r="W45" s="183"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1:76" s="25" customFormat="1" ht="15.75">
      <c r="B46" s="263"/>
      <c r="C46" s="77"/>
      <c r="D46" s="73"/>
      <c r="E46" s="340"/>
      <c r="F46" s="710"/>
      <c r="G46" s="711"/>
      <c r="H46" s="71"/>
      <c r="I46" s="719"/>
      <c r="J46" s="720"/>
      <c r="K46" s="721"/>
      <c r="L46" s="712" t="str">
        <f t="shared" si="7"/>
        <v/>
      </c>
      <c r="M46" s="689"/>
      <c r="N46" s="713"/>
      <c r="O46" s="61"/>
      <c r="P46" s="12"/>
      <c r="R46" s="655"/>
      <c r="T46" s="664" t="str">
        <f>IF(C46="","",VLOOKUP(D46,'9. All Habitats + Multipliers'!$C$4:$K$102,5,FALSE))</f>
        <v/>
      </c>
      <c r="U46" s="665"/>
      <c r="V46" s="94" t="str">
        <f>IF(T46="","",VLOOKUP(T46,'11. Lists'!$B$47:$D$49,2,FALSE))</f>
        <v/>
      </c>
      <c r="W46" s="183"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1:76" s="25" customFormat="1" ht="15.75">
      <c r="B47" s="263"/>
      <c r="C47" s="77"/>
      <c r="D47" s="73"/>
      <c r="E47" s="340"/>
      <c r="F47" s="710"/>
      <c r="G47" s="711"/>
      <c r="H47" s="71"/>
      <c r="I47" s="719"/>
      <c r="J47" s="720"/>
      <c r="K47" s="721"/>
      <c r="L47" s="712" t="str">
        <f t="shared" si="7"/>
        <v/>
      </c>
      <c r="M47" s="689"/>
      <c r="N47" s="713"/>
      <c r="O47" s="61"/>
      <c r="P47" s="12"/>
      <c r="R47" s="655"/>
      <c r="T47" s="664" t="str">
        <f>IF(C47="","",VLOOKUP(D47,'9. All Habitats + Multipliers'!$C$4:$K$102,5,FALSE))</f>
        <v/>
      </c>
      <c r="U47" s="665"/>
      <c r="V47" s="94" t="str">
        <f>IF(T47="","",VLOOKUP(T47,'11. Lists'!$B$47:$D$49,2,FALSE))</f>
        <v/>
      </c>
      <c r="W47" s="183"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1:76" s="25" customFormat="1" ht="15.75">
      <c r="B48" s="263"/>
      <c r="C48" s="77"/>
      <c r="D48" s="73"/>
      <c r="E48" s="340"/>
      <c r="F48" s="710"/>
      <c r="G48" s="711"/>
      <c r="H48" s="71"/>
      <c r="I48" s="719"/>
      <c r="J48" s="720"/>
      <c r="K48" s="721"/>
      <c r="L48" s="712" t="str">
        <f t="shared" si="7"/>
        <v/>
      </c>
      <c r="M48" s="689"/>
      <c r="N48" s="713"/>
      <c r="O48" s="61"/>
      <c r="P48" s="12"/>
      <c r="R48" s="655"/>
      <c r="T48" s="664" t="str">
        <f>IF(C48="","",VLOOKUP(D48,'9. All Habitats + Multipliers'!$C$4:$K$102,5,FALSE))</f>
        <v/>
      </c>
      <c r="U48" s="665"/>
      <c r="V48" s="94" t="str">
        <f>IF(T48="","",VLOOKUP(T48,'11. Lists'!$B$47:$D$49,2,FALSE))</f>
        <v/>
      </c>
      <c r="W48" s="183"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3"/>
      <c r="C49" s="78"/>
      <c r="D49" s="73"/>
      <c r="E49" s="340"/>
      <c r="F49" s="710"/>
      <c r="G49" s="711"/>
      <c r="H49" s="71"/>
      <c r="I49" s="719"/>
      <c r="J49" s="720"/>
      <c r="K49" s="721"/>
      <c r="L49" s="712" t="str">
        <f t="shared" si="7"/>
        <v/>
      </c>
      <c r="M49" s="689"/>
      <c r="N49" s="713"/>
      <c r="O49" s="61"/>
      <c r="P49" s="12"/>
      <c r="R49" s="655"/>
      <c r="T49" s="664" t="str">
        <f>IF(C49="","",VLOOKUP(D49,'9. All Habitats + Multipliers'!$C$4:$K$102,5,FALSE))</f>
        <v/>
      </c>
      <c r="U49" s="665"/>
      <c r="V49" s="94" t="str">
        <f>IF(T49="","",VLOOKUP(T49,'11. Lists'!$B$47:$D$49,2,FALSE))</f>
        <v/>
      </c>
      <c r="W49" s="183"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3"/>
      <c r="C50" s="78"/>
      <c r="D50" s="73"/>
      <c r="E50" s="340"/>
      <c r="F50" s="710"/>
      <c r="G50" s="711"/>
      <c r="H50" s="71"/>
      <c r="I50" s="719"/>
      <c r="J50" s="720"/>
      <c r="K50" s="721"/>
      <c r="L50" s="712" t="str">
        <f t="shared" si="7"/>
        <v/>
      </c>
      <c r="M50" s="689"/>
      <c r="N50" s="713"/>
      <c r="O50" s="61"/>
      <c r="P50" s="12"/>
      <c r="R50" s="655"/>
      <c r="T50" s="664" t="str">
        <f>IF(C50="","",VLOOKUP(D50,'9. All Habitats + Multipliers'!$C$4:$K$102,5,FALSE))</f>
        <v/>
      </c>
      <c r="U50" s="665"/>
      <c r="V50" s="94" t="str">
        <f>IF(T50="","",VLOOKUP(T50,'11. Lists'!$B$47:$D$49,2,FALSE))</f>
        <v/>
      </c>
      <c r="W50" s="183"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3"/>
      <c r="C51" s="78"/>
      <c r="D51" s="73"/>
      <c r="E51" s="340"/>
      <c r="F51" s="710"/>
      <c r="G51" s="711"/>
      <c r="H51" s="71"/>
      <c r="I51" s="719"/>
      <c r="J51" s="720"/>
      <c r="K51" s="721"/>
      <c r="L51" s="712" t="str">
        <f t="shared" si="7"/>
        <v/>
      </c>
      <c r="M51" s="689"/>
      <c r="N51" s="713"/>
      <c r="O51" s="61"/>
      <c r="P51" s="12"/>
      <c r="R51" s="655"/>
      <c r="T51" s="664" t="str">
        <f>IF(C51="","",VLOOKUP(D51,'9. All Habitats + Multipliers'!$C$4:$K$102,5,FALSE))</f>
        <v/>
      </c>
      <c r="U51" s="665"/>
      <c r="V51" s="94" t="str">
        <f>IF(T51="","",VLOOKUP(T51,'11. Lists'!$B$47:$D$49,2,FALSE))</f>
        <v/>
      </c>
      <c r="W51" s="183"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3"/>
      <c r="C52" s="78"/>
      <c r="D52" s="73"/>
      <c r="E52" s="340"/>
      <c r="F52" s="710"/>
      <c r="G52" s="711"/>
      <c r="H52" s="71"/>
      <c r="I52" s="719"/>
      <c r="J52" s="720"/>
      <c r="K52" s="721"/>
      <c r="L52" s="712" t="str">
        <f t="shared" si="7"/>
        <v/>
      </c>
      <c r="M52" s="689"/>
      <c r="N52" s="713"/>
      <c r="O52" s="61"/>
      <c r="P52" s="12"/>
      <c r="R52" s="655"/>
      <c r="T52" s="664" t="str">
        <f>IF(C52="","",VLOOKUP(D52,'9. All Habitats + Multipliers'!$C$4:$K$102,5,FALSE))</f>
        <v/>
      </c>
      <c r="U52" s="665"/>
      <c r="V52" s="94" t="str">
        <f>IF(T52="","",VLOOKUP(T52,'11. Lists'!$B$47:$D$49,2,FALSE))</f>
        <v/>
      </c>
      <c r="W52" s="183"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3"/>
      <c r="C53" s="78"/>
      <c r="D53" s="73"/>
      <c r="E53" s="340"/>
      <c r="F53" s="710"/>
      <c r="G53" s="711"/>
      <c r="H53" s="71"/>
      <c r="I53" s="719"/>
      <c r="J53" s="720"/>
      <c r="K53" s="721"/>
      <c r="L53" s="712" t="str">
        <f t="shared" si="7"/>
        <v/>
      </c>
      <c r="M53" s="689"/>
      <c r="N53" s="713"/>
      <c r="O53" s="61"/>
      <c r="P53" s="12"/>
      <c r="R53" s="655"/>
      <c r="T53" s="664" t="str">
        <f>IF(C53="","",VLOOKUP(D53,'9. All Habitats + Multipliers'!$C$4:$K$102,5,FALSE))</f>
        <v/>
      </c>
      <c r="U53" s="665"/>
      <c r="V53" s="94" t="str">
        <f>IF(T53="","",VLOOKUP(T53,'11. Lists'!$B$47:$D$49,2,FALSE))</f>
        <v/>
      </c>
      <c r="W53" s="183"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3"/>
      <c r="C54" s="78"/>
      <c r="D54" s="73"/>
      <c r="E54" s="340"/>
      <c r="F54" s="710"/>
      <c r="G54" s="711"/>
      <c r="H54" s="71"/>
      <c r="I54" s="719"/>
      <c r="J54" s="720"/>
      <c r="K54" s="721"/>
      <c r="L54" s="712" t="str">
        <f t="shared" si="7"/>
        <v/>
      </c>
      <c r="M54" s="689"/>
      <c r="N54" s="713"/>
      <c r="O54" s="61"/>
      <c r="P54" s="12"/>
      <c r="R54" s="655"/>
      <c r="T54" s="664" t="str">
        <f>IF(C54="","",VLOOKUP(D54,'9. All Habitats + Multipliers'!$C$4:$K$102,5,FALSE))</f>
        <v/>
      </c>
      <c r="U54" s="665"/>
      <c r="V54" s="94" t="str">
        <f>IF(T54="","",VLOOKUP(T54,'11. Lists'!$B$47:$D$49,2,FALSE))</f>
        <v/>
      </c>
      <c r="W54" s="183"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3"/>
      <c r="C55" s="78"/>
      <c r="D55" s="73"/>
      <c r="E55" s="340"/>
      <c r="F55" s="710"/>
      <c r="G55" s="711"/>
      <c r="H55" s="71"/>
      <c r="I55" s="719"/>
      <c r="J55" s="720"/>
      <c r="K55" s="721"/>
      <c r="L55" s="712" t="str">
        <f t="shared" si="7"/>
        <v/>
      </c>
      <c r="M55" s="689"/>
      <c r="N55" s="713"/>
      <c r="O55" s="61"/>
      <c r="P55" s="12"/>
      <c r="R55" s="655"/>
      <c r="T55" s="664" t="str">
        <f>IF(C55="","",VLOOKUP(D55,'9. All Habitats + Multipliers'!$C$4:$K$102,5,FALSE))</f>
        <v/>
      </c>
      <c r="U55" s="665"/>
      <c r="V55" s="94" t="str">
        <f>IF(T55="","",VLOOKUP(T55,'11. Lists'!$B$47:$D$49,2,FALSE))</f>
        <v/>
      </c>
      <c r="W55" s="183"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3"/>
      <c r="C56" s="78"/>
      <c r="D56" s="73"/>
      <c r="E56" s="340"/>
      <c r="F56" s="710"/>
      <c r="G56" s="711"/>
      <c r="H56" s="71"/>
      <c r="I56" s="719"/>
      <c r="J56" s="720"/>
      <c r="K56" s="721"/>
      <c r="L56" s="712" t="str">
        <f t="shared" si="7"/>
        <v/>
      </c>
      <c r="M56" s="689"/>
      <c r="N56" s="713"/>
      <c r="O56" s="61"/>
      <c r="P56" s="12"/>
      <c r="R56" s="655"/>
      <c r="T56" s="664" t="str">
        <f>IF(C56="","",VLOOKUP(D56,'9. All Habitats + Multipliers'!$C$4:$K$102,5,FALSE))</f>
        <v/>
      </c>
      <c r="U56" s="665"/>
      <c r="V56" s="94" t="str">
        <f>IF(T56="","",VLOOKUP(T56,'11. Lists'!$B$47:$D$49,2,FALSE))</f>
        <v/>
      </c>
      <c r="W56" s="183"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3"/>
      <c r="C57" s="78"/>
      <c r="D57" s="73"/>
      <c r="E57" s="340"/>
      <c r="F57" s="710"/>
      <c r="G57" s="711"/>
      <c r="H57" s="71"/>
      <c r="I57" s="719"/>
      <c r="J57" s="720"/>
      <c r="K57" s="721"/>
      <c r="L57" s="712" t="str">
        <f t="shared" si="7"/>
        <v/>
      </c>
      <c r="M57" s="689"/>
      <c r="N57" s="713"/>
      <c r="O57" s="61"/>
      <c r="P57" s="12"/>
      <c r="R57" s="655"/>
      <c r="T57" s="664" t="str">
        <f>IF(C57="","",VLOOKUP(D57,'9. All Habitats + Multipliers'!$C$4:$K$102,5,FALSE))</f>
        <v/>
      </c>
      <c r="U57" s="665"/>
      <c r="V57" s="94" t="str">
        <f>IF(T57="","",VLOOKUP(T57,'11. Lists'!$B$47:$D$49,2,FALSE))</f>
        <v/>
      </c>
      <c r="W57" s="183"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3"/>
      <c r="C58" s="78"/>
      <c r="D58" s="73"/>
      <c r="E58" s="340"/>
      <c r="F58" s="710"/>
      <c r="G58" s="711"/>
      <c r="H58" s="71"/>
      <c r="I58" s="719"/>
      <c r="J58" s="720"/>
      <c r="K58" s="721"/>
      <c r="L58" s="712" t="str">
        <f t="shared" si="7"/>
        <v/>
      </c>
      <c r="M58" s="689"/>
      <c r="N58" s="713"/>
      <c r="O58" s="61"/>
      <c r="P58" s="12"/>
      <c r="R58" s="655"/>
      <c r="T58" s="664" t="str">
        <f>IF(C58="","",VLOOKUP(D58,'9. All Habitats + Multipliers'!$C$4:$K$102,5,FALSE))</f>
        <v/>
      </c>
      <c r="U58" s="665"/>
      <c r="V58" s="94" t="str">
        <f>IF(T58="","",VLOOKUP(T58,'11. Lists'!$B$47:$D$49,2,FALSE))</f>
        <v/>
      </c>
      <c r="W58" s="183"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5.75">
      <c r="B59" s="265"/>
      <c r="C59" s="78"/>
      <c r="D59" s="73"/>
      <c r="E59" s="340"/>
      <c r="F59" s="710"/>
      <c r="G59" s="711"/>
      <c r="H59" s="79"/>
      <c r="I59" s="719"/>
      <c r="J59" s="720"/>
      <c r="K59" s="721"/>
      <c r="L59" s="712" t="str">
        <f t="shared" si="7"/>
        <v/>
      </c>
      <c r="M59" s="689"/>
      <c r="N59" s="713"/>
      <c r="O59" s="22"/>
      <c r="P59" s="6"/>
      <c r="R59" s="655"/>
      <c r="T59" s="664" t="str">
        <f>IF(C59="","",VLOOKUP(D59,'9. All Habitats + Multipliers'!$C$4:$K$102,5,FALSE))</f>
        <v/>
      </c>
      <c r="U59" s="665"/>
      <c r="V59" s="94" t="str">
        <f>IF(T59="","",VLOOKUP(T59,'11. Lists'!$B$47:$D$49,2,FALSE))</f>
        <v/>
      </c>
      <c r="W59" s="183"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
      <c r="B60" s="266" t="s">
        <v>102</v>
      </c>
      <c r="C60" s="97" t="s">
        <v>103</v>
      </c>
      <c r="D60" s="108" t="s">
        <v>104</v>
      </c>
      <c r="E60" s="109" t="s">
        <v>124</v>
      </c>
      <c r="F60" s="747" t="s">
        <v>124</v>
      </c>
      <c r="G60" s="748"/>
      <c r="H60" s="548" t="s">
        <v>125</v>
      </c>
      <c r="I60" s="751">
        <f>O99</f>
        <v>0</v>
      </c>
      <c r="J60" s="752"/>
      <c r="K60" s="753"/>
      <c r="L60" s="714">
        <f>IF(D60="","",((I60/10000)*(V60*X60))*(AH60*AF60)*AD60)</f>
        <v>0</v>
      </c>
      <c r="M60" s="715"/>
      <c r="N60" s="697"/>
      <c r="O60" s="38"/>
      <c r="P60" s="39"/>
      <c r="R60" s="655"/>
      <c r="T60" s="666" t="str">
        <f>IF(C60="","",VLOOKUP(D60,'9. All Habitats + Multipliers'!$C$4:$K$102,5,FALSE))</f>
        <v>Medium</v>
      </c>
      <c r="U60" s="667"/>
      <c r="V60" s="99">
        <f>IF(T60="","",VLOOKUP(T60,'11. Lists'!$B$47:$D$49,2,FALSE))</f>
        <v>4</v>
      </c>
      <c r="W60" s="343"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c r="H61" s="497" t="s">
        <v>106</v>
      </c>
      <c r="I61" s="818">
        <f>SUMIFS(I40:I59,D40:D59,"&lt;&gt;"&amp;'11. Lists'!Q10,D40:D59,"&lt;&gt;"&amp;'11. Lists'!Q11,D40:D59,"&lt;&gt;"&amp;'11. Lists'!I4,D40:D59,"&lt;&gt;"&amp;'11. Lists'!I2,D40:D59,"&lt;&gt;"&amp;'11. Lists'!I3)</f>
        <v>366.13</v>
      </c>
      <c r="J61" s="819"/>
      <c r="K61" s="820"/>
      <c r="L61" s="701">
        <f>SUM(L40:N60)</f>
        <v>0</v>
      </c>
      <c r="M61" s="821"/>
      <c r="N61" s="698"/>
      <c r="R61" s="655"/>
    </row>
    <row r="62" spans="2:53" s="25" customFormat="1">
      <c r="H62" s="267" t="s">
        <v>126</v>
      </c>
      <c r="I62" s="716" t="str">
        <f>IF(AND(M32=0,I61=0),"Areas Acceptable ✓",IF(OR(I61-M32&lt;=-0.001,(I61-M32&gt;=0.001)),("Error - Area of habitat creation must match area lost ▲"),("Areas Acceptable ✓")))</f>
        <v>Areas Acceptable ✓</v>
      </c>
      <c r="J62" s="717"/>
      <c r="K62" s="717"/>
      <c r="L62" s="717"/>
      <c r="M62" s="717"/>
      <c r="N62" s="718"/>
      <c r="O62" s="157">
        <f>IFERROR(FIND("Error",I62),0)</f>
        <v>0</v>
      </c>
      <c r="R62" s="655"/>
    </row>
    <row r="63" spans="2:53" s="25" customFormat="1">
      <c r="I63" s="434">
        <f>SUM($I$40:$K$60)</f>
        <v>366.13</v>
      </c>
      <c r="R63" s="655"/>
      <c r="BA63" s="50" t="s">
        <v>127</v>
      </c>
    </row>
    <row r="64" spans="2:53" s="25" customFormat="1" ht="21">
      <c r="B64" s="57" t="s">
        <v>128</v>
      </c>
      <c r="D64" s="88"/>
      <c r="H64" s="26"/>
      <c r="R64" s="655"/>
      <c r="BA64" s="50" t="s">
        <v>129</v>
      </c>
    </row>
    <row r="65" spans="1:76" s="25" customFormat="1">
      <c r="A65" s="89"/>
      <c r="R65" s="655" t="s">
        <v>65</v>
      </c>
    </row>
    <row r="66" spans="1:76" s="25" customFormat="1" ht="16.149999999999999" customHeight="1">
      <c r="A66" s="89"/>
      <c r="B66" s="687" t="s">
        <v>130</v>
      </c>
      <c r="C66" s="683" t="s">
        <v>131</v>
      </c>
      <c r="D66" s="685"/>
      <c r="E66" s="726" t="s">
        <v>132</v>
      </c>
      <c r="F66" s="727"/>
      <c r="G66" s="728"/>
      <c r="H66" s="669" t="s">
        <v>133</v>
      </c>
      <c r="I66" s="669" t="s">
        <v>134</v>
      </c>
      <c r="J66" s="814" t="s">
        <v>135</v>
      </c>
      <c r="K66" s="815"/>
      <c r="L66" s="683" t="s">
        <v>136</v>
      </c>
      <c r="M66" s="684" t="s">
        <v>137</v>
      </c>
      <c r="N66" s="685"/>
      <c r="O66" s="749" t="s">
        <v>78</v>
      </c>
      <c r="P66" s="750"/>
      <c r="R66" s="655"/>
      <c r="T66" s="662" t="s">
        <v>138</v>
      </c>
      <c r="U66" s="663"/>
      <c r="V66" s="663"/>
      <c r="W66" s="663"/>
      <c r="X66" s="663"/>
      <c r="Y66" s="663"/>
      <c r="Z66" s="663"/>
      <c r="AA66" s="663"/>
      <c r="AB66" s="663"/>
      <c r="AC66" s="663"/>
      <c r="AD66" s="668"/>
      <c r="AE66" s="669" t="s">
        <v>139</v>
      </c>
      <c r="AF66" s="662" t="s">
        <v>140</v>
      </c>
      <c r="AG66" s="663"/>
      <c r="AH66" s="663"/>
      <c r="AI66" s="663"/>
      <c r="AJ66" s="663"/>
      <c r="AK66" s="663"/>
      <c r="AL66" s="663"/>
      <c r="AM66" s="663"/>
      <c r="AN66" s="663"/>
      <c r="AO66" s="663"/>
      <c r="AP66" s="668"/>
      <c r="AQ66" s="671" t="s">
        <v>141</v>
      </c>
      <c r="AR66" s="662" t="s">
        <v>140</v>
      </c>
      <c r="AS66" s="663"/>
      <c r="AT66" s="663"/>
      <c r="AU66" s="663"/>
      <c r="AV66" s="663"/>
      <c r="AW66" s="663"/>
      <c r="AX66" s="663"/>
      <c r="AY66" s="458"/>
      <c r="BA66" s="154" t="s">
        <v>142</v>
      </c>
      <c r="BB66" s="184">
        <f>COUNTIF(BB68:BB87,"?*")</f>
        <v>4</v>
      </c>
      <c r="BC66" s="184">
        <f t="shared" ref="BC66:BU66" si="10">COUNTIF(BC68:BC87,"?*")</f>
        <v>0</v>
      </c>
      <c r="BD66" s="184">
        <f t="shared" si="10"/>
        <v>0</v>
      </c>
      <c r="BE66" s="184">
        <f t="shared" si="10"/>
        <v>0</v>
      </c>
      <c r="BF66" s="184">
        <f t="shared" si="10"/>
        <v>0</v>
      </c>
      <c r="BG66" s="184">
        <f t="shared" si="10"/>
        <v>0</v>
      </c>
      <c r="BH66" s="184">
        <f t="shared" si="10"/>
        <v>0</v>
      </c>
      <c r="BI66" s="184">
        <f t="shared" si="10"/>
        <v>0</v>
      </c>
      <c r="BJ66" s="184">
        <f t="shared" si="10"/>
        <v>0</v>
      </c>
      <c r="BK66" s="184">
        <f t="shared" si="10"/>
        <v>0</v>
      </c>
      <c r="BL66" s="184">
        <f t="shared" si="10"/>
        <v>0</v>
      </c>
      <c r="BM66" s="184">
        <f t="shared" si="10"/>
        <v>0</v>
      </c>
      <c r="BN66" s="184">
        <f t="shared" si="10"/>
        <v>0</v>
      </c>
      <c r="BO66" s="184">
        <f t="shared" si="10"/>
        <v>0</v>
      </c>
      <c r="BP66" s="184">
        <f t="shared" si="10"/>
        <v>0</v>
      </c>
      <c r="BQ66" s="184">
        <f t="shared" si="10"/>
        <v>0</v>
      </c>
      <c r="BR66" s="184">
        <f t="shared" si="10"/>
        <v>0</v>
      </c>
      <c r="BS66" s="184">
        <f t="shared" si="10"/>
        <v>0</v>
      </c>
      <c r="BT66" s="184">
        <f t="shared" si="10"/>
        <v>0</v>
      </c>
      <c r="BU66" s="184">
        <f t="shared" si="10"/>
        <v>0</v>
      </c>
    </row>
    <row r="67" spans="1:76" s="25" customFormat="1" ht="48.6" customHeight="1">
      <c r="A67" s="89"/>
      <c r="B67" s="688"/>
      <c r="C67" s="210" t="s">
        <v>143</v>
      </c>
      <c r="D67" s="90" t="s">
        <v>144</v>
      </c>
      <c r="E67" s="86" t="s">
        <v>145</v>
      </c>
      <c r="F67" s="724" t="s">
        <v>146</v>
      </c>
      <c r="G67" s="725"/>
      <c r="H67" s="670"/>
      <c r="I67" s="670"/>
      <c r="J67" s="816"/>
      <c r="K67" s="817"/>
      <c r="L67" s="840"/>
      <c r="M67" s="841"/>
      <c r="N67" s="842"/>
      <c r="O67" s="195" t="s">
        <v>93</v>
      </c>
      <c r="P67" s="90" t="s">
        <v>94</v>
      </c>
      <c r="R67" s="655"/>
      <c r="T67" s="330" t="s">
        <v>147</v>
      </c>
      <c r="U67" s="349" t="s">
        <v>148</v>
      </c>
      <c r="V67" s="348" t="s">
        <v>149</v>
      </c>
      <c r="W67" s="503" t="s">
        <v>150</v>
      </c>
      <c r="X67" s="504" t="s">
        <v>151</v>
      </c>
      <c r="Y67" s="353"/>
      <c r="Z67" s="353"/>
      <c r="AA67" s="353"/>
      <c r="AB67" s="504" t="s">
        <v>152</v>
      </c>
      <c r="AC67" s="504" t="s">
        <v>153</v>
      </c>
      <c r="AD67" s="348" t="s">
        <v>154</v>
      </c>
      <c r="AE67" s="670"/>
      <c r="AF67" s="331" t="s">
        <v>147</v>
      </c>
      <c r="AG67" s="349" t="s">
        <v>95</v>
      </c>
      <c r="AH67" s="348" t="s">
        <v>96</v>
      </c>
      <c r="AI67" s="503" t="s">
        <v>97</v>
      </c>
      <c r="AJ67" s="357" t="s">
        <v>96</v>
      </c>
      <c r="AK67" s="344"/>
      <c r="AL67" s="344"/>
      <c r="AM67" s="344"/>
      <c r="AN67" s="358" t="s">
        <v>81</v>
      </c>
      <c r="AO67" s="504" t="s">
        <v>81</v>
      </c>
      <c r="AP67" s="514" t="s">
        <v>98</v>
      </c>
      <c r="AQ67" s="672"/>
      <c r="AR67" s="348" t="s">
        <v>155</v>
      </c>
      <c r="AS67" s="349" t="s">
        <v>156</v>
      </c>
      <c r="AT67" s="348" t="s">
        <v>157</v>
      </c>
      <c r="AU67" s="350" t="s">
        <v>158</v>
      </c>
      <c r="AV67" s="348" t="s">
        <v>159</v>
      </c>
      <c r="AW67" s="329" t="s">
        <v>160</v>
      </c>
      <c r="AX67" s="456" t="s">
        <v>161</v>
      </c>
      <c r="AY67" s="459" t="s">
        <v>162</v>
      </c>
      <c r="BA67" s="83" t="s">
        <v>163</v>
      </c>
      <c r="BB67" s="168">
        <v>1</v>
      </c>
      <c r="BC67" s="168">
        <v>2</v>
      </c>
      <c r="BD67" s="168">
        <v>3</v>
      </c>
      <c r="BE67" s="168">
        <v>4</v>
      </c>
      <c r="BF67" s="168">
        <v>5</v>
      </c>
      <c r="BG67" s="168">
        <v>6</v>
      </c>
      <c r="BH67" s="168">
        <v>7</v>
      </c>
      <c r="BI67" s="168">
        <v>8</v>
      </c>
      <c r="BJ67" s="168">
        <v>9</v>
      </c>
      <c r="BK67" s="168">
        <v>10</v>
      </c>
      <c r="BL67" s="168">
        <v>11</v>
      </c>
      <c r="BM67" s="168">
        <v>12</v>
      </c>
      <c r="BN67" s="168">
        <v>13</v>
      </c>
      <c r="BO67" s="168">
        <v>14</v>
      </c>
      <c r="BP67" s="168">
        <v>15</v>
      </c>
      <c r="BQ67" s="168">
        <v>16</v>
      </c>
      <c r="BR67" s="168">
        <v>17</v>
      </c>
      <c r="BS67" s="168">
        <v>18</v>
      </c>
      <c r="BT67" s="168">
        <v>19</v>
      </c>
      <c r="BU67" s="168">
        <v>20</v>
      </c>
      <c r="BV67" s="182" t="s">
        <v>164</v>
      </c>
      <c r="BW67" s="168" t="s">
        <v>165</v>
      </c>
      <c r="BX67" s="168" t="s">
        <v>166</v>
      </c>
    </row>
    <row r="68" spans="1:76" s="25" customFormat="1" ht="75">
      <c r="A68" s="89"/>
      <c r="B68" s="262">
        <v>1</v>
      </c>
      <c r="C68" s="206" t="str">
        <f t="shared" ref="C68:C87" si="11">IF(D68="","",C11)</f>
        <v>Grassland</v>
      </c>
      <c r="D68" s="207" t="str">
        <f>IF(OR(K11=0, K11=""),"",D11)</f>
        <v>Modified grassland</v>
      </c>
      <c r="E68" s="208" t="str">
        <f t="shared" ref="E68:E88" si="12">IF(AX68="","",AX68)</f>
        <v>Distinctiveness</v>
      </c>
      <c r="F68" s="722" t="s">
        <v>322</v>
      </c>
      <c r="G68" s="723"/>
      <c r="H68" s="162" t="str">
        <f t="shared" ref="H68:H87" si="13">IF(D68="","",AB68)</f>
        <v>Area/compensation not in local strategy/ no local strategy</v>
      </c>
      <c r="I68" s="319">
        <v>6000</v>
      </c>
      <c r="J68" s="679" t="s">
        <v>124</v>
      </c>
      <c r="K68" s="680"/>
      <c r="L68" s="282">
        <f>IFERROR(IF(D68="","",IF(AX68="Distinctiveness",(((((I68*AH68*AJ68)-(I68*V68*X68))*(AV68*AT68))+(I68*V68*X68))*(AP68))/10000,((((I68*AJ68*AH68)-(I68*V68*X68))*(AV68*AR68))+(I68*V68*X68))*AP68/10000)),"Error ▲")</f>
        <v>3.8064391332</v>
      </c>
      <c r="M68" s="689">
        <f>IFERROR(IF(F68="","",L68-AD68), "Error ▲")</f>
        <v>1.4064391332000001</v>
      </c>
      <c r="N68" s="690" t="s">
        <v>1073</v>
      </c>
      <c r="O68" s="209"/>
      <c r="P68" s="1"/>
      <c r="R68" s="655"/>
      <c r="T68" s="176">
        <f t="shared" ref="T68:T88" si="14">IF(D68="","",K11)</f>
        <v>6000</v>
      </c>
      <c r="U68" s="359" t="str">
        <f>IF($D68="","",T11)</f>
        <v>Low</v>
      </c>
      <c r="V68" s="361">
        <f t="shared" ref="V68:X88" si="15">IF($D68="","",V11)</f>
        <v>2</v>
      </c>
      <c r="W68" s="359" t="str">
        <f t="shared" si="15"/>
        <v>Moderate</v>
      </c>
      <c r="X68" s="361">
        <f t="shared" si="15"/>
        <v>2</v>
      </c>
      <c r="Y68" s="370"/>
      <c r="Z68" s="341"/>
      <c r="AA68" s="505"/>
      <c r="AB68" s="359" t="str">
        <f t="shared" ref="AB68:AB88" si="16">IF($D68="","",AB11)</f>
        <v>Area/compensation not in local strategy/ no local strategy</v>
      </c>
      <c r="AC68" s="361">
        <f t="shared" ref="AC68:AC88" si="17">IF($D68="","",AD11)</f>
        <v>1</v>
      </c>
      <c r="AD68" s="508">
        <f>IF(AC68="","",(T68*V68*X68)*AC68/10000)</f>
        <v>2.4</v>
      </c>
      <c r="AE68" s="508" t="str">
        <f>IF(AD68="","",IF(AH68&lt;V68,"Not Acceptable","Acceptable"))</f>
        <v>Acceptable</v>
      </c>
      <c r="AF68" s="508">
        <f t="shared" ref="AF68:AF88" si="18">IF(D68="","",I68)</f>
        <v>6000</v>
      </c>
      <c r="AG68" s="359" t="str">
        <f>IF(D68="","",VLOOKUP(F68,'9. All Habitats + Multipliers'!$C$4:$K$102,5,FALSE))</f>
        <v>Medium</v>
      </c>
      <c r="AH68" s="511">
        <f>IF(AG68="","",VLOOKUP(AG68,'11. Lists'!$B$47:$D$49,2,FALSE))</f>
        <v>4</v>
      </c>
      <c r="AI68" s="359" t="str">
        <f t="shared" ref="AI68:AI88" si="19">IF(D68="","",J68)</f>
        <v>Moderate</v>
      </c>
      <c r="AJ68" s="361">
        <f>IF(AI68="","",VLOOKUP(AI68,'11. Lists'!$F$47:$G$51,2,FALSE))</f>
        <v>2</v>
      </c>
      <c r="AK68" s="513"/>
      <c r="AL68" s="360"/>
      <c r="AM68" s="516"/>
      <c r="AN68" s="359" t="str">
        <f t="shared" ref="AN68:AN88" si="20">IF(H68="","",H68)</f>
        <v>Area/compensation not in local strategy/ no local strategy</v>
      </c>
      <c r="AO68" s="517" t="str">
        <f>IF(AN68="","",VLOOKUP(AN68,'11. Lists'!$F$36:$H$38,2,FALSE))</f>
        <v>Low Strategic Significance</v>
      </c>
      <c r="AP68" s="361">
        <f>IF(AN68="","",VLOOKUP(AN68,'11. Lists'!$F$36:$H$38,3,FALSE))</f>
        <v>1</v>
      </c>
      <c r="AQ68" s="359" t="str">
        <f>IF(D68="","",IF(AX68="Distinctiveness","N/A",VLOOKUP(F68,'10. Condition and Temporal'!$B$6:$L$103,11,FALSE)))</f>
        <v>N/A</v>
      </c>
      <c r="AR68" s="518" t="str">
        <f>IF(AQ68="","",IF(AQ68="N/A","1",VLOOKUP(AQ68,'11. Lists'!$I$47:$K$80,3,FALSE)))</f>
        <v>1</v>
      </c>
      <c r="AS68" s="521">
        <f>IF(D68="","",IF(AX68="Condition","N/A",VLOOKUP(F68,'10. Condition and Temporal'!$B$6:$M$106,12,FALSE)))</f>
        <v>15</v>
      </c>
      <c r="AT68" s="518">
        <f>IF(AS68="","",IF(AS68="N/A","1",VLOOKUP(AS68,'11. Lists'!$I$47:$K$80,3,FALSE)))</f>
        <v>0.58601630550000006</v>
      </c>
      <c r="AU68" s="359" t="str">
        <f>IF(D68="","",VLOOKUP(F68,'9. All Habitats + Multipliers'!$C$4:$K$102,8,FALSE))</f>
        <v>Low</v>
      </c>
      <c r="AV68" s="361">
        <f>IF(AU68="","",VLOOKUP(AU68,'11. Lists'!$J$35:$K$38,2,FALSE))</f>
        <v>1</v>
      </c>
      <c r="AW68" s="508" t="str">
        <f>IF(D68="","",VLOOKUP(D68,'10. Condition and Temporal'!$B$6:$M$103,4,FALSE))</f>
        <v>Modified grassland, Other lowland acid grassland, Other neutral grassland, Upland acid grassland</v>
      </c>
      <c r="AX68" s="508" t="str">
        <f t="shared" ref="AX68:AX87" si="21">IF(F68="","",IF(D68=F68,"Condition","Distinctiveness"))</f>
        <v>Distinctiveness</v>
      </c>
      <c r="AY68" s="460" t="str">
        <f>IF(COUNTIF(F68,"*grassland*"),"Grassland",IF(COUNTIF(F68,"*scree*"),"Sparsely vegetated land",C68))</f>
        <v>Grassland</v>
      </c>
      <c r="BA68" s="93">
        <v>1</v>
      </c>
      <c r="BB68" s="95" t="str">
        <f t="shared" ref="BB68:BB87" si="22">TRIM(MID(SUBSTITUTE($AW$68,$BA$64,REPT(" ",LEN($AW$68))),($BA68-1)*LEN($AW$68)+1,LEN($AW$68)))</f>
        <v>Modified grassland</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3" t="str">
        <f>IF(BX68=0,"",CONCATENATE(BW68,"68:",BW68,BX68+67))</f>
        <v>BB68:BB71</v>
      </c>
      <c r="BW68" s="95" t="s">
        <v>167</v>
      </c>
      <c r="BX68" s="95">
        <f>BB66</f>
        <v>4</v>
      </c>
    </row>
    <row r="69" spans="1:76" s="25" customFormat="1" ht="15.75">
      <c r="A69" s="89"/>
      <c r="B69" s="263">
        <v>2</v>
      </c>
      <c r="C69" s="119" t="str">
        <f t="shared" si="11"/>
        <v/>
      </c>
      <c r="D69" s="207" t="str">
        <f t="shared" ref="D69:D87" si="42">IF(OR(K12=0, K12=""),"",D12)</f>
        <v/>
      </c>
      <c r="E69" s="165" t="str">
        <f t="shared" si="12"/>
        <v/>
      </c>
      <c r="F69" s="673"/>
      <c r="G69" s="674"/>
      <c r="H69" s="162" t="str">
        <f t="shared" si="13"/>
        <v/>
      </c>
      <c r="I69" s="319" t="str">
        <f t="shared" ref="I69:I87" si="43">IF(OR(K12="", K12=0),"",K12)</f>
        <v/>
      </c>
      <c r="J69" s="679" t="str">
        <f>IFERROR(IF(F69="","",VLOOKUP(F69,'10. Condition and Temporal'!$B$6:$F$103,5,FALSE)), "Error ▲")</f>
        <v/>
      </c>
      <c r="K69" s="680"/>
      <c r="L69" s="282" t="str">
        <f t="shared" ref="L69:L87" si="44">IFERROR(IF(D69="","",IF(AX69="Distinctiveness",(((((I69*AH69*AJ69)-(I69*V69*X69))*(AV69*AT69))+(I69*V69*X69))*(AP69))/10000,((((I69*AJ69*AH69)-(I69*V69*X69))*(AV69*AR69))+(I69*V69*X69))*AP69/10000)),"Error ▲")</f>
        <v/>
      </c>
      <c r="M69" s="689" t="str">
        <f t="shared" ref="M69:M87" si="45">IFERROR(IF(F69="","",L69-AD69), "Error ▲")</f>
        <v/>
      </c>
      <c r="N69" s="690"/>
      <c r="O69" s="74"/>
      <c r="P69" s="12"/>
      <c r="Q69"/>
      <c r="R69" s="655"/>
      <c r="S69"/>
      <c r="T69" s="176" t="str">
        <f t="shared" si="14"/>
        <v/>
      </c>
      <c r="U69" s="114" t="str">
        <f t="shared" ref="U69:U87" si="46">IF($D69="","",T12)</f>
        <v/>
      </c>
      <c r="V69" s="94" t="str">
        <f t="shared" si="15"/>
        <v/>
      </c>
      <c r="W69" s="93" t="str">
        <f t="shared" si="15"/>
        <v/>
      </c>
      <c r="X69" s="94" t="str">
        <f t="shared" si="15"/>
        <v/>
      </c>
      <c r="Y69" s="370"/>
      <c r="Z69" s="341"/>
      <c r="AA69" s="505"/>
      <c r="AB69" s="93" t="str">
        <f t="shared" si="16"/>
        <v/>
      </c>
      <c r="AC69" s="115" t="str">
        <f t="shared" si="17"/>
        <v/>
      </c>
      <c r="AD69" s="176" t="str">
        <f>IF(AC69="","",(T69*V69*X69)*AC69/10000)</f>
        <v/>
      </c>
      <c r="AE69" s="176" t="str">
        <f t="shared" ref="AE69:AE87" si="47">IF(AD69="","",IF(AH69&lt;V69,"Not Acceptable","Acceptable"))</f>
        <v/>
      </c>
      <c r="AF69" s="509" t="str">
        <f t="shared" si="18"/>
        <v/>
      </c>
      <c r="AG69" s="114" t="str">
        <f>IF(D69="","",VLOOKUP(F69,'9. All Habitats + Multipliers'!$C$4:$K$102,5,FALSE))</f>
        <v/>
      </c>
      <c r="AH69" s="342" t="str">
        <f>IF(AG69="","",VLOOKUP(AG69,'11. Lists'!$B$47:$D$49,2,FALSE))</f>
        <v/>
      </c>
      <c r="AI69" s="93" t="str">
        <f t="shared" si="19"/>
        <v/>
      </c>
      <c r="AJ69" s="94" t="str">
        <f>IF(AI69="","",VLOOKUP(AI69,'11. Lists'!$F$47:$G$51,2,FALSE))</f>
        <v/>
      </c>
      <c r="AK69" s="370"/>
      <c r="AL69" s="341"/>
      <c r="AM69" s="505"/>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2"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6" t="str">
        <f>IF(D69="","",VLOOKUP(D69,'10. Condition and Temporal'!$B$6:$M$103,4,FALSE))</f>
        <v/>
      </c>
      <c r="AX69" s="176" t="str">
        <f t="shared" si="21"/>
        <v/>
      </c>
      <c r="AY69" s="461" t="str">
        <f t="shared" ref="AY69:AY87" si="48">IF(COUNTIF(F69,"*grassland*"),"Grassland",IF(COUNTIF(F69,"*scree*"),"Sparsely vegetated land",C69))</f>
        <v/>
      </c>
      <c r="AZ69"/>
      <c r="BA69" s="93">
        <v>3</v>
      </c>
      <c r="BB69" s="95" t="str">
        <f t="shared" si="22"/>
        <v>Other neutral grassland</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3" t="str">
        <f t="shared" ref="BV69:BV87" si="49">IF(BX69=0,"",CONCATENATE(BW69,"68:",BW69,BX69+67))</f>
        <v/>
      </c>
      <c r="BW69" s="95" t="s">
        <v>168</v>
      </c>
      <c r="BX69" s="95">
        <f>BD65</f>
        <v>0</v>
      </c>
    </row>
    <row r="70" spans="1:76" s="25" customFormat="1" ht="15.75">
      <c r="A70" s="89"/>
      <c r="B70" s="263">
        <v>3</v>
      </c>
      <c r="C70" s="119" t="str">
        <f t="shared" si="11"/>
        <v/>
      </c>
      <c r="D70" s="207" t="str">
        <f t="shared" si="42"/>
        <v/>
      </c>
      <c r="E70" s="165" t="str">
        <f t="shared" si="12"/>
        <v/>
      </c>
      <c r="F70" s="673"/>
      <c r="G70" s="674"/>
      <c r="H70" s="162" t="str">
        <f t="shared" si="13"/>
        <v/>
      </c>
      <c r="I70" s="319" t="str">
        <f t="shared" si="43"/>
        <v/>
      </c>
      <c r="J70" s="679" t="str">
        <f>IFERROR(IF(F70="","",VLOOKUP(F70,'10. Condition and Temporal'!$B$6:$F$103,5,FALSE)), "Error ▲")</f>
        <v/>
      </c>
      <c r="K70" s="680"/>
      <c r="L70" s="282" t="str">
        <f t="shared" si="44"/>
        <v/>
      </c>
      <c r="M70" s="689" t="str">
        <f t="shared" si="45"/>
        <v/>
      </c>
      <c r="N70" s="690"/>
      <c r="O70" s="74"/>
      <c r="P70" s="12"/>
      <c r="R70" s="655"/>
      <c r="T70" s="176" t="str">
        <f t="shared" si="14"/>
        <v/>
      </c>
      <c r="U70" s="114" t="str">
        <f t="shared" si="46"/>
        <v/>
      </c>
      <c r="V70" s="94" t="str">
        <f t="shared" si="15"/>
        <v/>
      </c>
      <c r="W70" s="93" t="str">
        <f t="shared" si="15"/>
        <v/>
      </c>
      <c r="X70" s="94" t="str">
        <f t="shared" si="15"/>
        <v/>
      </c>
      <c r="Y70" s="370"/>
      <c r="Z70" s="341"/>
      <c r="AA70" s="505"/>
      <c r="AB70" s="93" t="str">
        <f t="shared" si="16"/>
        <v/>
      </c>
      <c r="AC70" s="115" t="str">
        <f t="shared" si="17"/>
        <v/>
      </c>
      <c r="AD70" s="176" t="str">
        <f t="shared" ref="AD70:AD87" si="50">IF(AC70="","",(T70*V70*X70)*AC70/10000)</f>
        <v/>
      </c>
      <c r="AE70" s="176" t="str">
        <f t="shared" si="47"/>
        <v/>
      </c>
      <c r="AF70" s="509" t="str">
        <f t="shared" si="18"/>
        <v/>
      </c>
      <c r="AG70" s="114" t="str">
        <f>IF(D70="","",VLOOKUP(F70,'9. All Habitats + Multipliers'!$C$4:$K$102,5,FALSE))</f>
        <v/>
      </c>
      <c r="AH70" s="342" t="str">
        <f>IF(AG70="","",VLOOKUP(AG70,'11. Lists'!$B$47:$D$49,2,FALSE))</f>
        <v/>
      </c>
      <c r="AI70" s="93" t="str">
        <f t="shared" si="19"/>
        <v/>
      </c>
      <c r="AJ70" s="94" t="str">
        <f>IF(AI70="","",VLOOKUP(AI70,'11. Lists'!$F$47:$G$51,2,FALSE))</f>
        <v/>
      </c>
      <c r="AK70" s="370"/>
      <c r="AL70" s="341"/>
      <c r="AM70" s="505"/>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2"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6" t="str">
        <f>IF(D70="","",VLOOKUP(D70,'10. Condition and Temporal'!$B$6:$M$103,4,FALSE))</f>
        <v/>
      </c>
      <c r="AX70" s="176" t="str">
        <f t="shared" si="21"/>
        <v/>
      </c>
      <c r="AY70" s="461" t="str">
        <f t="shared" si="48"/>
        <v/>
      </c>
      <c r="BA70" s="93">
        <v>3</v>
      </c>
      <c r="BB70" s="95" t="str">
        <f t="shared" si="22"/>
        <v>Other neutral grassland</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3" t="str">
        <f t="shared" si="49"/>
        <v/>
      </c>
      <c r="BW70" s="95" t="s">
        <v>168</v>
      </c>
      <c r="BX70" s="95">
        <f>BD66</f>
        <v>0</v>
      </c>
    </row>
    <row r="71" spans="1:76" s="25" customFormat="1" ht="15.75">
      <c r="A71" s="89"/>
      <c r="B71" s="263"/>
      <c r="C71" s="119" t="str">
        <f t="shared" si="11"/>
        <v/>
      </c>
      <c r="D71" s="207" t="str">
        <f t="shared" si="42"/>
        <v/>
      </c>
      <c r="E71" s="165" t="str">
        <f t="shared" si="12"/>
        <v/>
      </c>
      <c r="F71" s="673"/>
      <c r="G71" s="674"/>
      <c r="H71" s="162" t="str">
        <f t="shared" si="13"/>
        <v/>
      </c>
      <c r="I71" s="319" t="str">
        <f t="shared" si="43"/>
        <v/>
      </c>
      <c r="J71" s="679"/>
      <c r="K71" s="680"/>
      <c r="L71" s="282" t="str">
        <f t="shared" si="44"/>
        <v/>
      </c>
      <c r="M71" s="689" t="str">
        <f t="shared" si="45"/>
        <v/>
      </c>
      <c r="N71" s="690"/>
      <c r="O71" s="74"/>
      <c r="P71" s="12"/>
      <c r="R71" s="655"/>
      <c r="T71" s="176" t="str">
        <f t="shared" si="14"/>
        <v/>
      </c>
      <c r="U71" s="114" t="str">
        <f t="shared" si="46"/>
        <v/>
      </c>
      <c r="V71" s="94" t="str">
        <f t="shared" si="15"/>
        <v/>
      </c>
      <c r="W71" s="93" t="str">
        <f t="shared" si="15"/>
        <v/>
      </c>
      <c r="X71" s="94" t="str">
        <f t="shared" si="15"/>
        <v/>
      </c>
      <c r="Y71" s="370"/>
      <c r="Z71" s="341"/>
      <c r="AA71" s="505"/>
      <c r="AB71" s="93" t="str">
        <f t="shared" si="16"/>
        <v/>
      </c>
      <c r="AC71" s="115" t="str">
        <f t="shared" si="17"/>
        <v/>
      </c>
      <c r="AD71" s="176" t="str">
        <f t="shared" si="50"/>
        <v/>
      </c>
      <c r="AE71" s="176" t="str">
        <f t="shared" si="47"/>
        <v/>
      </c>
      <c r="AF71" s="509" t="str">
        <f t="shared" si="18"/>
        <v/>
      </c>
      <c r="AG71" s="114" t="str">
        <f>IF(D71="","",VLOOKUP(F71,'9. All Habitats + Multipliers'!$C$4:$K$102,5,FALSE))</f>
        <v/>
      </c>
      <c r="AH71" s="342" t="str">
        <f>IF(AG71="","",VLOOKUP(AG71,'11. Lists'!$B$47:$D$49,2,FALSE))</f>
        <v/>
      </c>
      <c r="AI71" s="93" t="str">
        <f t="shared" si="19"/>
        <v/>
      </c>
      <c r="AJ71" s="94" t="str">
        <f>IF(AI71="","",VLOOKUP(AI71,'11. Lists'!$F$47:$G$51,2,FALSE))</f>
        <v/>
      </c>
      <c r="AK71" s="370"/>
      <c r="AL71" s="341"/>
      <c r="AM71" s="505"/>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2"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6" t="str">
        <f>IF(D71="","",VLOOKUP(D71,'10. Condition and Temporal'!$B$6:$M$103,4,FALSE))</f>
        <v/>
      </c>
      <c r="AX71" s="176" t="str">
        <f t="shared" si="21"/>
        <v/>
      </c>
      <c r="AY71" s="461" t="str">
        <f t="shared" si="48"/>
        <v/>
      </c>
      <c r="BA71" s="93">
        <v>4</v>
      </c>
      <c r="BB71" s="95" t="str">
        <f t="shared" si="22"/>
        <v>Upland acid grassland</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3" t="str">
        <f t="shared" si="49"/>
        <v/>
      </c>
      <c r="BW71" s="95" t="s">
        <v>169</v>
      </c>
      <c r="BX71" s="95">
        <f>BE66</f>
        <v>0</v>
      </c>
    </row>
    <row r="72" spans="1:76" s="25" customFormat="1" ht="15.75">
      <c r="A72" s="89"/>
      <c r="B72" s="263"/>
      <c r="C72" s="119" t="str">
        <f t="shared" si="11"/>
        <v/>
      </c>
      <c r="D72" s="207" t="str">
        <f t="shared" si="42"/>
        <v/>
      </c>
      <c r="E72" s="165" t="str">
        <f t="shared" si="12"/>
        <v/>
      </c>
      <c r="F72" s="673"/>
      <c r="G72" s="674"/>
      <c r="H72" s="162" t="str">
        <f t="shared" si="13"/>
        <v/>
      </c>
      <c r="I72" s="319" t="str">
        <f t="shared" si="43"/>
        <v/>
      </c>
      <c r="J72" s="679"/>
      <c r="K72" s="680"/>
      <c r="L72" s="282" t="str">
        <f t="shared" si="44"/>
        <v/>
      </c>
      <c r="M72" s="689" t="str">
        <f t="shared" si="45"/>
        <v/>
      </c>
      <c r="N72" s="690"/>
      <c r="O72" s="74"/>
      <c r="P72" s="12"/>
      <c r="R72" s="655"/>
      <c r="T72" s="176" t="str">
        <f t="shared" si="14"/>
        <v/>
      </c>
      <c r="U72" s="114" t="str">
        <f t="shared" si="46"/>
        <v/>
      </c>
      <c r="V72" s="94" t="str">
        <f t="shared" si="15"/>
        <v/>
      </c>
      <c r="W72" s="93" t="str">
        <f t="shared" si="15"/>
        <v/>
      </c>
      <c r="X72" s="94" t="str">
        <f t="shared" si="15"/>
        <v/>
      </c>
      <c r="Y72" s="370"/>
      <c r="Z72" s="341"/>
      <c r="AA72" s="505"/>
      <c r="AB72" s="93" t="str">
        <f t="shared" si="16"/>
        <v/>
      </c>
      <c r="AC72" s="115" t="str">
        <f t="shared" si="17"/>
        <v/>
      </c>
      <c r="AD72" s="176" t="str">
        <f t="shared" si="50"/>
        <v/>
      </c>
      <c r="AE72" s="176" t="str">
        <f t="shared" si="47"/>
        <v/>
      </c>
      <c r="AF72" s="509" t="str">
        <f t="shared" si="18"/>
        <v/>
      </c>
      <c r="AG72" s="114" t="str">
        <f>IF(D72="","",VLOOKUP(F72,'9. All Habitats + Multipliers'!$C$4:$K$102,5,FALSE))</f>
        <v/>
      </c>
      <c r="AH72" s="342" t="str">
        <f>IF(AG72="","",VLOOKUP(AG72,'11. Lists'!$B$47:$D$49,2,FALSE))</f>
        <v/>
      </c>
      <c r="AI72" s="93" t="str">
        <f t="shared" si="19"/>
        <v/>
      </c>
      <c r="AJ72" s="94" t="str">
        <f>IF(AI72="","",VLOOKUP(AI72,'11. Lists'!$F$47:$G$51,2,FALSE))</f>
        <v/>
      </c>
      <c r="AK72" s="370"/>
      <c r="AL72" s="341"/>
      <c r="AM72" s="505"/>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2"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6" t="str">
        <f>IF(D72="","",VLOOKUP(D72,'10. Condition and Temporal'!$B$6:$M$103,4,FALSE))</f>
        <v/>
      </c>
      <c r="AX72" s="176" t="str">
        <f t="shared" si="21"/>
        <v/>
      </c>
      <c r="AY72" s="461"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3" t="str">
        <f t="shared" si="49"/>
        <v/>
      </c>
      <c r="BW72" s="95" t="s">
        <v>170</v>
      </c>
      <c r="BX72" s="95">
        <f>BF66</f>
        <v>0</v>
      </c>
    </row>
    <row r="73" spans="1:76" s="25" customFormat="1" ht="15.75">
      <c r="A73" s="89"/>
      <c r="B73" s="263"/>
      <c r="C73" s="119" t="str">
        <f t="shared" si="11"/>
        <v/>
      </c>
      <c r="D73" s="207" t="str">
        <f t="shared" si="42"/>
        <v/>
      </c>
      <c r="E73" s="165" t="str">
        <f t="shared" si="12"/>
        <v/>
      </c>
      <c r="F73" s="673"/>
      <c r="G73" s="674"/>
      <c r="H73" s="162" t="str">
        <f t="shared" si="13"/>
        <v/>
      </c>
      <c r="I73" s="319" t="str">
        <f t="shared" si="43"/>
        <v/>
      </c>
      <c r="J73" s="679"/>
      <c r="K73" s="680"/>
      <c r="L73" s="282" t="str">
        <f t="shared" si="44"/>
        <v/>
      </c>
      <c r="M73" s="689" t="str">
        <f t="shared" si="45"/>
        <v/>
      </c>
      <c r="N73" s="690"/>
      <c r="O73" s="74"/>
      <c r="P73" s="12"/>
      <c r="R73" s="655"/>
      <c r="T73" s="176" t="str">
        <f t="shared" si="14"/>
        <v/>
      </c>
      <c r="U73" s="114" t="str">
        <f t="shared" si="46"/>
        <v/>
      </c>
      <c r="V73" s="94" t="str">
        <f t="shared" si="15"/>
        <v/>
      </c>
      <c r="W73" s="93" t="str">
        <f t="shared" si="15"/>
        <v/>
      </c>
      <c r="X73" s="94" t="str">
        <f t="shared" si="15"/>
        <v/>
      </c>
      <c r="Y73" s="370"/>
      <c r="Z73" s="341"/>
      <c r="AA73" s="505"/>
      <c r="AB73" s="93" t="str">
        <f t="shared" si="16"/>
        <v/>
      </c>
      <c r="AC73" s="115" t="str">
        <f t="shared" si="17"/>
        <v/>
      </c>
      <c r="AD73" s="176" t="str">
        <f t="shared" si="50"/>
        <v/>
      </c>
      <c r="AE73" s="176" t="str">
        <f t="shared" si="47"/>
        <v/>
      </c>
      <c r="AF73" s="509" t="str">
        <f t="shared" si="18"/>
        <v/>
      </c>
      <c r="AG73" s="114" t="str">
        <f>IF(D73="","",VLOOKUP(F73,'9. All Habitats + Multipliers'!$C$4:$K$102,5,FALSE))</f>
        <v/>
      </c>
      <c r="AH73" s="342" t="str">
        <f>IF(AG73="","",VLOOKUP(AG73,'11. Lists'!$B$47:$D$49,2,FALSE))</f>
        <v/>
      </c>
      <c r="AI73" s="93" t="str">
        <f t="shared" si="19"/>
        <v/>
      </c>
      <c r="AJ73" s="94" t="str">
        <f>IF(AI73="","",VLOOKUP(AI73,'11. Lists'!$F$47:$G$51,2,FALSE))</f>
        <v/>
      </c>
      <c r="AK73" s="370"/>
      <c r="AL73" s="341"/>
      <c r="AM73" s="505"/>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2"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6" t="str">
        <f>IF(D73="","",VLOOKUP(D73,'10. Condition and Temporal'!$B$6:$M$103,4,FALSE))</f>
        <v/>
      </c>
      <c r="AX73" s="176" t="str">
        <f t="shared" si="21"/>
        <v/>
      </c>
      <c r="AY73" s="461"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3" t="str">
        <f t="shared" si="49"/>
        <v/>
      </c>
      <c r="BW73" s="95" t="s">
        <v>171</v>
      </c>
      <c r="BX73" s="95">
        <f>BG66</f>
        <v>0</v>
      </c>
    </row>
    <row r="74" spans="1:76" s="25" customFormat="1" ht="15.75">
      <c r="A74" s="89"/>
      <c r="B74" s="263"/>
      <c r="C74" s="119" t="str">
        <f t="shared" si="11"/>
        <v/>
      </c>
      <c r="D74" s="207" t="str">
        <f t="shared" si="42"/>
        <v/>
      </c>
      <c r="E74" s="165" t="str">
        <f t="shared" si="12"/>
        <v/>
      </c>
      <c r="F74" s="673"/>
      <c r="G74" s="674"/>
      <c r="H74" s="162" t="str">
        <f t="shared" si="13"/>
        <v/>
      </c>
      <c r="I74" s="319" t="str">
        <f t="shared" si="43"/>
        <v/>
      </c>
      <c r="J74" s="679"/>
      <c r="K74" s="680"/>
      <c r="L74" s="282" t="str">
        <f t="shared" si="44"/>
        <v/>
      </c>
      <c r="M74" s="689" t="str">
        <f t="shared" si="45"/>
        <v/>
      </c>
      <c r="N74" s="690"/>
      <c r="O74" s="74"/>
      <c r="P74" s="12"/>
      <c r="R74" s="655"/>
      <c r="T74" s="176" t="str">
        <f t="shared" si="14"/>
        <v/>
      </c>
      <c r="U74" s="114" t="str">
        <f t="shared" si="46"/>
        <v/>
      </c>
      <c r="V74" s="94" t="str">
        <f t="shared" si="15"/>
        <v/>
      </c>
      <c r="W74" s="93" t="str">
        <f t="shared" si="15"/>
        <v/>
      </c>
      <c r="X74" s="94" t="str">
        <f t="shared" si="15"/>
        <v/>
      </c>
      <c r="Y74" s="370"/>
      <c r="Z74" s="341"/>
      <c r="AA74" s="505"/>
      <c r="AB74" s="93" t="str">
        <f t="shared" si="16"/>
        <v/>
      </c>
      <c r="AC74" s="115" t="str">
        <f t="shared" si="17"/>
        <v/>
      </c>
      <c r="AD74" s="176" t="str">
        <f t="shared" si="50"/>
        <v/>
      </c>
      <c r="AE74" s="176" t="str">
        <f t="shared" si="47"/>
        <v/>
      </c>
      <c r="AF74" s="509" t="str">
        <f t="shared" si="18"/>
        <v/>
      </c>
      <c r="AG74" s="114" t="str">
        <f>IF(D74="","",VLOOKUP(F74,'9. All Habitats + Multipliers'!$C$4:$K$102,5,FALSE))</f>
        <v/>
      </c>
      <c r="AH74" s="342" t="str">
        <f>IF(AG74="","",VLOOKUP(AG74,'11. Lists'!$B$47:$D$49,2,FALSE))</f>
        <v/>
      </c>
      <c r="AI74" s="93" t="str">
        <f t="shared" si="19"/>
        <v/>
      </c>
      <c r="AJ74" s="94" t="str">
        <f>IF(AI74="","",VLOOKUP(AI74,'11. Lists'!$F$47:$G$51,2,FALSE))</f>
        <v/>
      </c>
      <c r="AK74" s="370"/>
      <c r="AL74" s="341"/>
      <c r="AM74" s="505"/>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2"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6" t="str">
        <f>IF(D74="","",VLOOKUP(D74,'10. Condition and Temporal'!$B$6:$M$103,4,FALSE))</f>
        <v/>
      </c>
      <c r="AX74" s="176" t="str">
        <f t="shared" si="21"/>
        <v/>
      </c>
      <c r="AY74" s="461"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3" t="str">
        <f t="shared" si="49"/>
        <v/>
      </c>
      <c r="BW74" s="95" t="s">
        <v>172</v>
      </c>
      <c r="BX74" s="95">
        <f>BH66</f>
        <v>0</v>
      </c>
    </row>
    <row r="75" spans="1:76" s="25" customFormat="1" ht="15.75">
      <c r="A75" s="89"/>
      <c r="B75" s="263"/>
      <c r="C75" s="119" t="str">
        <f t="shared" si="11"/>
        <v/>
      </c>
      <c r="D75" s="207" t="str">
        <f t="shared" si="42"/>
        <v/>
      </c>
      <c r="E75" s="165" t="str">
        <f t="shared" si="12"/>
        <v/>
      </c>
      <c r="F75" s="673"/>
      <c r="G75" s="674"/>
      <c r="H75" s="162" t="str">
        <f t="shared" si="13"/>
        <v/>
      </c>
      <c r="I75" s="319" t="str">
        <f t="shared" si="43"/>
        <v/>
      </c>
      <c r="J75" s="679"/>
      <c r="K75" s="680"/>
      <c r="L75" s="282" t="str">
        <f t="shared" si="44"/>
        <v/>
      </c>
      <c r="M75" s="689" t="str">
        <f t="shared" si="45"/>
        <v/>
      </c>
      <c r="N75" s="690"/>
      <c r="O75" s="74"/>
      <c r="P75" s="12"/>
      <c r="R75" s="655"/>
      <c r="T75" s="176" t="str">
        <f t="shared" si="14"/>
        <v/>
      </c>
      <c r="U75" s="114" t="str">
        <f t="shared" si="46"/>
        <v/>
      </c>
      <c r="V75" s="94" t="str">
        <f t="shared" si="15"/>
        <v/>
      </c>
      <c r="W75" s="93" t="str">
        <f t="shared" si="15"/>
        <v/>
      </c>
      <c r="X75" s="94" t="str">
        <f t="shared" si="15"/>
        <v/>
      </c>
      <c r="Y75" s="370"/>
      <c r="Z75" s="341"/>
      <c r="AA75" s="505"/>
      <c r="AB75" s="93" t="str">
        <f t="shared" si="16"/>
        <v/>
      </c>
      <c r="AC75" s="115" t="str">
        <f t="shared" si="17"/>
        <v/>
      </c>
      <c r="AD75" s="176" t="str">
        <f t="shared" si="50"/>
        <v/>
      </c>
      <c r="AE75" s="176" t="str">
        <f t="shared" si="47"/>
        <v/>
      </c>
      <c r="AF75" s="509" t="str">
        <f t="shared" si="18"/>
        <v/>
      </c>
      <c r="AG75" s="114" t="str">
        <f>IF(D75="","",VLOOKUP(F75,'9. All Habitats + Multipliers'!$C$4:$K$102,5,FALSE))</f>
        <v/>
      </c>
      <c r="AH75" s="342" t="str">
        <f>IF(AG75="","",VLOOKUP(AG75,'11. Lists'!$B$47:$D$49,2,FALSE))</f>
        <v/>
      </c>
      <c r="AI75" s="93" t="str">
        <f t="shared" si="19"/>
        <v/>
      </c>
      <c r="AJ75" s="94" t="str">
        <f>IF(AI75="","",VLOOKUP(AI75,'11. Lists'!$F$47:$G$51,2,FALSE))</f>
        <v/>
      </c>
      <c r="AK75" s="370"/>
      <c r="AL75" s="341"/>
      <c r="AM75" s="505"/>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2"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6" t="str">
        <f>IF(D75="","",VLOOKUP(D75,'10. Condition and Temporal'!$B$6:$M$103,4,FALSE))</f>
        <v/>
      </c>
      <c r="AX75" s="176" t="str">
        <f t="shared" si="21"/>
        <v/>
      </c>
      <c r="AY75" s="461"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3" t="str">
        <f t="shared" si="49"/>
        <v/>
      </c>
      <c r="BW75" s="95" t="s">
        <v>173</v>
      </c>
      <c r="BX75" s="95">
        <f>BI66</f>
        <v>0</v>
      </c>
    </row>
    <row r="76" spans="1:76" s="25" customFormat="1" ht="15.75">
      <c r="A76" s="89"/>
      <c r="B76" s="263"/>
      <c r="C76" s="119" t="str">
        <f t="shared" si="11"/>
        <v/>
      </c>
      <c r="D76" s="207" t="str">
        <f t="shared" si="42"/>
        <v/>
      </c>
      <c r="E76" s="165" t="str">
        <f t="shared" si="12"/>
        <v/>
      </c>
      <c r="F76" s="673"/>
      <c r="G76" s="674"/>
      <c r="H76" s="162" t="str">
        <f t="shared" si="13"/>
        <v/>
      </c>
      <c r="I76" s="319" t="str">
        <f t="shared" si="43"/>
        <v/>
      </c>
      <c r="J76" s="679"/>
      <c r="K76" s="680"/>
      <c r="L76" s="282" t="str">
        <f t="shared" si="44"/>
        <v/>
      </c>
      <c r="M76" s="689" t="str">
        <f t="shared" si="45"/>
        <v/>
      </c>
      <c r="N76" s="690"/>
      <c r="O76" s="74"/>
      <c r="P76" s="12"/>
      <c r="R76" s="655"/>
      <c r="T76" s="176" t="str">
        <f t="shared" si="14"/>
        <v/>
      </c>
      <c r="U76" s="114" t="str">
        <f t="shared" si="46"/>
        <v/>
      </c>
      <c r="V76" s="94" t="str">
        <f t="shared" si="15"/>
        <v/>
      </c>
      <c r="W76" s="93" t="str">
        <f t="shared" si="15"/>
        <v/>
      </c>
      <c r="X76" s="94" t="str">
        <f t="shared" si="15"/>
        <v/>
      </c>
      <c r="Y76" s="370"/>
      <c r="Z76" s="341"/>
      <c r="AA76" s="505"/>
      <c r="AB76" s="93" t="str">
        <f t="shared" si="16"/>
        <v/>
      </c>
      <c r="AC76" s="115" t="str">
        <f t="shared" si="17"/>
        <v/>
      </c>
      <c r="AD76" s="176" t="str">
        <f t="shared" si="50"/>
        <v/>
      </c>
      <c r="AE76" s="176" t="str">
        <f t="shared" si="47"/>
        <v/>
      </c>
      <c r="AF76" s="509" t="str">
        <f t="shared" si="18"/>
        <v/>
      </c>
      <c r="AG76" s="114" t="str">
        <f>IF(D76="","",VLOOKUP(F76,'9. All Habitats + Multipliers'!$C$4:$K$102,5,FALSE))</f>
        <v/>
      </c>
      <c r="AH76" s="342" t="str">
        <f>IF(AG76="","",VLOOKUP(AG76,'11. Lists'!$B$47:$D$49,2,FALSE))</f>
        <v/>
      </c>
      <c r="AI76" s="93" t="str">
        <f t="shared" si="19"/>
        <v/>
      </c>
      <c r="AJ76" s="94" t="str">
        <f>IF(AI76="","",VLOOKUP(AI76,'11. Lists'!$F$47:$G$51,2,FALSE))</f>
        <v/>
      </c>
      <c r="AK76" s="370"/>
      <c r="AL76" s="341"/>
      <c r="AM76" s="505"/>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2"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6" t="str">
        <f>IF(D76="","",VLOOKUP(D76,'10. Condition and Temporal'!$B$6:$M$103,4,FALSE))</f>
        <v/>
      </c>
      <c r="AX76" s="176" t="str">
        <f t="shared" si="21"/>
        <v/>
      </c>
      <c r="AY76" s="461"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3" t="str">
        <f t="shared" si="49"/>
        <v/>
      </c>
      <c r="BW76" s="95" t="s">
        <v>174</v>
      </c>
      <c r="BX76" s="95">
        <f>BJ66</f>
        <v>0</v>
      </c>
    </row>
    <row r="77" spans="1:76" s="25" customFormat="1" ht="15.75">
      <c r="A77" s="89"/>
      <c r="B77" s="263"/>
      <c r="C77" s="119" t="str">
        <f t="shared" si="11"/>
        <v/>
      </c>
      <c r="D77" s="207" t="str">
        <f t="shared" si="42"/>
        <v/>
      </c>
      <c r="E77" s="165" t="str">
        <f t="shared" si="12"/>
        <v/>
      </c>
      <c r="F77" s="673"/>
      <c r="G77" s="674"/>
      <c r="H77" s="162" t="str">
        <f t="shared" si="13"/>
        <v/>
      </c>
      <c r="I77" s="319" t="str">
        <f t="shared" si="43"/>
        <v/>
      </c>
      <c r="J77" s="679"/>
      <c r="K77" s="680"/>
      <c r="L77" s="282" t="str">
        <f t="shared" si="44"/>
        <v/>
      </c>
      <c r="M77" s="689" t="str">
        <f t="shared" si="45"/>
        <v/>
      </c>
      <c r="N77" s="690"/>
      <c r="O77" s="74"/>
      <c r="P77" s="12"/>
      <c r="R77" s="655"/>
      <c r="T77" s="176" t="str">
        <f t="shared" si="14"/>
        <v/>
      </c>
      <c r="U77" s="114" t="str">
        <f t="shared" si="46"/>
        <v/>
      </c>
      <c r="V77" s="94" t="str">
        <f t="shared" si="15"/>
        <v/>
      </c>
      <c r="W77" s="93" t="str">
        <f t="shared" si="15"/>
        <v/>
      </c>
      <c r="X77" s="94" t="str">
        <f t="shared" si="15"/>
        <v/>
      </c>
      <c r="Y77" s="370"/>
      <c r="Z77" s="341"/>
      <c r="AA77" s="505"/>
      <c r="AB77" s="93" t="str">
        <f t="shared" si="16"/>
        <v/>
      </c>
      <c r="AC77" s="115" t="str">
        <f t="shared" si="17"/>
        <v/>
      </c>
      <c r="AD77" s="176" t="str">
        <f t="shared" si="50"/>
        <v/>
      </c>
      <c r="AE77" s="176" t="str">
        <f t="shared" si="47"/>
        <v/>
      </c>
      <c r="AF77" s="509" t="str">
        <f t="shared" si="18"/>
        <v/>
      </c>
      <c r="AG77" s="114" t="str">
        <f>IF(D77="","",VLOOKUP(F77,'9. All Habitats + Multipliers'!$C$4:$K$102,5,FALSE))</f>
        <v/>
      </c>
      <c r="AH77" s="342" t="str">
        <f>IF(AG77="","",VLOOKUP(AG77,'11. Lists'!$B$47:$D$49,2,FALSE))</f>
        <v/>
      </c>
      <c r="AI77" s="93" t="str">
        <f t="shared" si="19"/>
        <v/>
      </c>
      <c r="AJ77" s="94" t="str">
        <f>IF(AI77="","",VLOOKUP(AI77,'11. Lists'!$F$47:$G$51,2,FALSE))</f>
        <v/>
      </c>
      <c r="AK77" s="370"/>
      <c r="AL77" s="341"/>
      <c r="AM77" s="505"/>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2"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6" t="str">
        <f>IF(D77="","",VLOOKUP(D77,'10. Condition and Temporal'!$B$6:$M$103,4,FALSE))</f>
        <v/>
      </c>
      <c r="AX77" s="176" t="str">
        <f t="shared" si="21"/>
        <v/>
      </c>
      <c r="AY77" s="461"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3" t="str">
        <f t="shared" si="49"/>
        <v/>
      </c>
      <c r="BW77" s="95" t="s">
        <v>175</v>
      </c>
      <c r="BX77" s="95">
        <f>BK66</f>
        <v>0</v>
      </c>
    </row>
    <row r="78" spans="1:76" s="25" customFormat="1" ht="15.75">
      <c r="A78" s="89"/>
      <c r="B78" s="263"/>
      <c r="C78" s="119" t="str">
        <f t="shared" si="11"/>
        <v/>
      </c>
      <c r="D78" s="207" t="str">
        <f t="shared" si="42"/>
        <v/>
      </c>
      <c r="E78" s="165" t="str">
        <f t="shared" si="12"/>
        <v/>
      </c>
      <c r="F78" s="673"/>
      <c r="G78" s="674"/>
      <c r="H78" s="162" t="str">
        <f t="shared" si="13"/>
        <v/>
      </c>
      <c r="I78" s="319" t="str">
        <f t="shared" si="43"/>
        <v/>
      </c>
      <c r="J78" s="679"/>
      <c r="K78" s="680"/>
      <c r="L78" s="282" t="str">
        <f t="shared" si="44"/>
        <v/>
      </c>
      <c r="M78" s="689" t="str">
        <f t="shared" si="45"/>
        <v/>
      </c>
      <c r="N78" s="690"/>
      <c r="O78" s="74"/>
      <c r="P78" s="12"/>
      <c r="R78" s="655"/>
      <c r="T78" s="176" t="str">
        <f t="shared" si="14"/>
        <v/>
      </c>
      <c r="U78" s="114" t="str">
        <f t="shared" si="46"/>
        <v/>
      </c>
      <c r="V78" s="94" t="str">
        <f t="shared" si="15"/>
        <v/>
      </c>
      <c r="W78" s="93" t="str">
        <f t="shared" si="15"/>
        <v/>
      </c>
      <c r="X78" s="94" t="str">
        <f t="shared" si="15"/>
        <v/>
      </c>
      <c r="Y78" s="370"/>
      <c r="Z78" s="341"/>
      <c r="AA78" s="505"/>
      <c r="AB78" s="93" t="str">
        <f t="shared" si="16"/>
        <v/>
      </c>
      <c r="AC78" s="115" t="str">
        <f t="shared" si="17"/>
        <v/>
      </c>
      <c r="AD78" s="176" t="str">
        <f t="shared" si="50"/>
        <v/>
      </c>
      <c r="AE78" s="176" t="str">
        <f t="shared" si="47"/>
        <v/>
      </c>
      <c r="AF78" s="509" t="str">
        <f t="shared" si="18"/>
        <v/>
      </c>
      <c r="AG78" s="114" t="str">
        <f>IF(D78="","",VLOOKUP(F78,'9. All Habitats + Multipliers'!$C$4:$K$102,5,FALSE))</f>
        <v/>
      </c>
      <c r="AH78" s="342" t="str">
        <f>IF(AG78="","",VLOOKUP(AG78,'11. Lists'!$B$47:$D$49,2,FALSE))</f>
        <v/>
      </c>
      <c r="AI78" s="93" t="str">
        <f t="shared" si="19"/>
        <v/>
      </c>
      <c r="AJ78" s="94" t="str">
        <f>IF(AI78="","",VLOOKUP(AI78,'11. Lists'!$F$47:$G$51,2,FALSE))</f>
        <v/>
      </c>
      <c r="AK78" s="370"/>
      <c r="AL78" s="341"/>
      <c r="AM78" s="505"/>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2"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6" t="str">
        <f>IF(D78="","",VLOOKUP(D78,'10. Condition and Temporal'!$B$6:$M$103,4,FALSE))</f>
        <v/>
      </c>
      <c r="AX78" s="176" t="str">
        <f t="shared" si="21"/>
        <v/>
      </c>
      <c r="AY78" s="461"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3" t="str">
        <f t="shared" si="49"/>
        <v/>
      </c>
      <c r="BW78" s="95" t="s">
        <v>176</v>
      </c>
      <c r="BX78" s="95">
        <f>BL66</f>
        <v>0</v>
      </c>
    </row>
    <row r="79" spans="1:76" s="25" customFormat="1" ht="15.75">
      <c r="A79" s="89"/>
      <c r="B79" s="263"/>
      <c r="C79" s="119" t="str">
        <f t="shared" si="11"/>
        <v/>
      </c>
      <c r="D79" s="207" t="str">
        <f t="shared" si="42"/>
        <v/>
      </c>
      <c r="E79" s="165" t="str">
        <f t="shared" si="12"/>
        <v/>
      </c>
      <c r="F79" s="673"/>
      <c r="G79" s="674"/>
      <c r="H79" s="162" t="str">
        <f t="shared" si="13"/>
        <v/>
      </c>
      <c r="I79" s="319" t="str">
        <f t="shared" si="43"/>
        <v/>
      </c>
      <c r="J79" s="679"/>
      <c r="K79" s="680"/>
      <c r="L79" s="282" t="str">
        <f t="shared" si="44"/>
        <v/>
      </c>
      <c r="M79" s="689" t="str">
        <f t="shared" si="45"/>
        <v/>
      </c>
      <c r="N79" s="690"/>
      <c r="O79" s="74"/>
      <c r="P79" s="12"/>
      <c r="R79" s="655"/>
      <c r="T79" s="176" t="str">
        <f t="shared" si="14"/>
        <v/>
      </c>
      <c r="U79" s="114" t="str">
        <f t="shared" si="46"/>
        <v/>
      </c>
      <c r="V79" s="94" t="str">
        <f t="shared" si="15"/>
        <v/>
      </c>
      <c r="W79" s="93" t="str">
        <f t="shared" si="15"/>
        <v/>
      </c>
      <c r="X79" s="94" t="str">
        <f t="shared" si="15"/>
        <v/>
      </c>
      <c r="Y79" s="370"/>
      <c r="Z79" s="341"/>
      <c r="AA79" s="505"/>
      <c r="AB79" s="93" t="str">
        <f t="shared" si="16"/>
        <v/>
      </c>
      <c r="AC79" s="115" t="str">
        <f t="shared" si="17"/>
        <v/>
      </c>
      <c r="AD79" s="176" t="str">
        <f t="shared" si="50"/>
        <v/>
      </c>
      <c r="AE79" s="176" t="str">
        <f t="shared" si="47"/>
        <v/>
      </c>
      <c r="AF79" s="509" t="str">
        <f t="shared" si="18"/>
        <v/>
      </c>
      <c r="AG79" s="114" t="str">
        <f>IF(D79="","",VLOOKUP(F79,'9. All Habitats + Multipliers'!$C$4:$K$102,5,FALSE))</f>
        <v/>
      </c>
      <c r="AH79" s="342" t="str">
        <f>IF(AG79="","",VLOOKUP(AG79,'11. Lists'!$B$47:$D$49,2,FALSE))</f>
        <v/>
      </c>
      <c r="AI79" s="93" t="str">
        <f t="shared" si="19"/>
        <v/>
      </c>
      <c r="AJ79" s="94" t="str">
        <f>IF(AI79="","",VLOOKUP(AI79,'11. Lists'!$F$47:$G$51,2,FALSE))</f>
        <v/>
      </c>
      <c r="AK79" s="370"/>
      <c r="AL79" s="341"/>
      <c r="AM79" s="505"/>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2"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6" t="str">
        <f>IF(D79="","",VLOOKUP(D79,'10. Condition and Temporal'!$B$6:$M$103,4,FALSE))</f>
        <v/>
      </c>
      <c r="AX79" s="176" t="str">
        <f t="shared" si="21"/>
        <v/>
      </c>
      <c r="AY79" s="461"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3" t="str">
        <f t="shared" si="49"/>
        <v/>
      </c>
      <c r="BW79" s="95" t="s">
        <v>177</v>
      </c>
      <c r="BX79" s="95">
        <f>BM66</f>
        <v>0</v>
      </c>
    </row>
    <row r="80" spans="1:76" s="25" customFormat="1" ht="15.75">
      <c r="A80" s="89"/>
      <c r="B80" s="263"/>
      <c r="C80" s="119" t="str">
        <f t="shared" si="11"/>
        <v/>
      </c>
      <c r="D80" s="207" t="str">
        <f t="shared" si="42"/>
        <v/>
      </c>
      <c r="E80" s="165" t="str">
        <f t="shared" si="12"/>
        <v/>
      </c>
      <c r="F80" s="673"/>
      <c r="G80" s="674"/>
      <c r="H80" s="162" t="str">
        <f t="shared" si="13"/>
        <v/>
      </c>
      <c r="I80" s="319" t="str">
        <f t="shared" si="43"/>
        <v/>
      </c>
      <c r="J80" s="679"/>
      <c r="K80" s="680"/>
      <c r="L80" s="282" t="str">
        <f t="shared" si="44"/>
        <v/>
      </c>
      <c r="M80" s="689" t="str">
        <f t="shared" si="45"/>
        <v/>
      </c>
      <c r="N80" s="690"/>
      <c r="O80" s="74"/>
      <c r="P80" s="12"/>
      <c r="R80" s="655"/>
      <c r="T80" s="176" t="str">
        <f t="shared" si="14"/>
        <v/>
      </c>
      <c r="U80" s="114" t="str">
        <f t="shared" si="46"/>
        <v/>
      </c>
      <c r="V80" s="94" t="str">
        <f t="shared" si="15"/>
        <v/>
      </c>
      <c r="W80" s="93" t="str">
        <f t="shared" si="15"/>
        <v/>
      </c>
      <c r="X80" s="94" t="str">
        <f t="shared" si="15"/>
        <v/>
      </c>
      <c r="Y80" s="370"/>
      <c r="Z80" s="341"/>
      <c r="AA80" s="505"/>
      <c r="AB80" s="93" t="str">
        <f t="shared" si="16"/>
        <v/>
      </c>
      <c r="AC80" s="115" t="str">
        <f t="shared" si="17"/>
        <v/>
      </c>
      <c r="AD80" s="176" t="str">
        <f t="shared" si="50"/>
        <v/>
      </c>
      <c r="AE80" s="176" t="str">
        <f t="shared" si="47"/>
        <v/>
      </c>
      <c r="AF80" s="509" t="str">
        <f t="shared" si="18"/>
        <v/>
      </c>
      <c r="AG80" s="114" t="str">
        <f>IF(D80="","",VLOOKUP(F80,'9. All Habitats + Multipliers'!$C$4:$K$102,5,FALSE))</f>
        <v/>
      </c>
      <c r="AH80" s="342" t="str">
        <f>IF(AG80="","",VLOOKUP(AG80,'11. Lists'!$B$47:$D$49,2,FALSE))</f>
        <v/>
      </c>
      <c r="AI80" s="93" t="str">
        <f t="shared" si="19"/>
        <v/>
      </c>
      <c r="AJ80" s="94" t="str">
        <f>IF(AI80="","",VLOOKUP(AI80,'11. Lists'!$F$47:$G$51,2,FALSE))</f>
        <v/>
      </c>
      <c r="AK80" s="370"/>
      <c r="AL80" s="341"/>
      <c r="AM80" s="505"/>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2"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6" t="str">
        <f>IF(D80="","",VLOOKUP(D80,'10. Condition and Temporal'!$B$6:$M$103,4,FALSE))</f>
        <v/>
      </c>
      <c r="AX80" s="176" t="str">
        <f t="shared" si="21"/>
        <v/>
      </c>
      <c r="AY80" s="461"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3" t="str">
        <f t="shared" si="49"/>
        <v/>
      </c>
      <c r="BW80" s="95" t="s">
        <v>178</v>
      </c>
      <c r="BX80" s="95">
        <f>BN66</f>
        <v>0</v>
      </c>
    </row>
    <row r="81" spans="1:76" s="25" customFormat="1" ht="15.75">
      <c r="A81" s="89"/>
      <c r="B81" s="263"/>
      <c r="C81" s="119" t="str">
        <f t="shared" si="11"/>
        <v/>
      </c>
      <c r="D81" s="207" t="str">
        <f t="shared" si="42"/>
        <v/>
      </c>
      <c r="E81" s="165" t="str">
        <f t="shared" si="12"/>
        <v/>
      </c>
      <c r="F81" s="673"/>
      <c r="G81" s="674"/>
      <c r="H81" s="162" t="str">
        <f t="shared" si="13"/>
        <v/>
      </c>
      <c r="I81" s="319" t="str">
        <f t="shared" si="43"/>
        <v/>
      </c>
      <c r="J81" s="679"/>
      <c r="K81" s="680"/>
      <c r="L81" s="282" t="str">
        <f t="shared" si="44"/>
        <v/>
      </c>
      <c r="M81" s="689" t="str">
        <f t="shared" si="45"/>
        <v/>
      </c>
      <c r="N81" s="690"/>
      <c r="O81" s="74"/>
      <c r="P81" s="12"/>
      <c r="R81" s="655"/>
      <c r="T81" s="176" t="str">
        <f t="shared" si="14"/>
        <v/>
      </c>
      <c r="U81" s="114" t="str">
        <f t="shared" si="46"/>
        <v/>
      </c>
      <c r="V81" s="94" t="str">
        <f t="shared" si="15"/>
        <v/>
      </c>
      <c r="W81" s="93" t="str">
        <f t="shared" si="15"/>
        <v/>
      </c>
      <c r="X81" s="94" t="str">
        <f t="shared" si="15"/>
        <v/>
      </c>
      <c r="Y81" s="370"/>
      <c r="Z81" s="341"/>
      <c r="AA81" s="505"/>
      <c r="AB81" s="93" t="str">
        <f t="shared" si="16"/>
        <v/>
      </c>
      <c r="AC81" s="115" t="str">
        <f t="shared" si="17"/>
        <v/>
      </c>
      <c r="AD81" s="176" t="str">
        <f t="shared" si="50"/>
        <v/>
      </c>
      <c r="AE81" s="176" t="str">
        <f t="shared" si="47"/>
        <v/>
      </c>
      <c r="AF81" s="509" t="str">
        <f t="shared" si="18"/>
        <v/>
      </c>
      <c r="AG81" s="114" t="str">
        <f>IF(D81="","",VLOOKUP(F81,'9. All Habitats + Multipliers'!$C$4:$K$102,5,FALSE))</f>
        <v/>
      </c>
      <c r="AH81" s="342" t="str">
        <f>IF(AG81="","",VLOOKUP(AG81,'11. Lists'!$B$47:$D$49,2,FALSE))</f>
        <v/>
      </c>
      <c r="AI81" s="93" t="str">
        <f t="shared" si="19"/>
        <v/>
      </c>
      <c r="AJ81" s="94" t="str">
        <f>IF(AI81="","",VLOOKUP(AI81,'11. Lists'!$F$47:$G$51,2,FALSE))</f>
        <v/>
      </c>
      <c r="AK81" s="370"/>
      <c r="AL81" s="341"/>
      <c r="AM81" s="505"/>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2"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6" t="str">
        <f>IF(D81="","",VLOOKUP(D81,'10. Condition and Temporal'!$B$6:$M$103,4,FALSE))</f>
        <v/>
      </c>
      <c r="AX81" s="176" t="str">
        <f t="shared" si="21"/>
        <v/>
      </c>
      <c r="AY81" s="461"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3" t="str">
        <f t="shared" si="49"/>
        <v/>
      </c>
      <c r="BW81" s="95" t="s">
        <v>179</v>
      </c>
      <c r="BX81" s="95">
        <f>BO66</f>
        <v>0</v>
      </c>
    </row>
    <row r="82" spans="1:76" s="25" customFormat="1" ht="15.75">
      <c r="A82" s="89"/>
      <c r="B82" s="263"/>
      <c r="C82" s="119" t="str">
        <f t="shared" si="11"/>
        <v/>
      </c>
      <c r="D82" s="207" t="str">
        <f t="shared" si="42"/>
        <v/>
      </c>
      <c r="E82" s="165" t="str">
        <f t="shared" si="12"/>
        <v/>
      </c>
      <c r="F82" s="673"/>
      <c r="G82" s="674"/>
      <c r="H82" s="162" t="str">
        <f t="shared" si="13"/>
        <v/>
      </c>
      <c r="I82" s="319" t="str">
        <f t="shared" si="43"/>
        <v/>
      </c>
      <c r="J82" s="679"/>
      <c r="K82" s="680"/>
      <c r="L82" s="282" t="str">
        <f t="shared" si="44"/>
        <v/>
      </c>
      <c r="M82" s="689" t="str">
        <f t="shared" si="45"/>
        <v/>
      </c>
      <c r="N82" s="690"/>
      <c r="O82" s="74"/>
      <c r="P82" s="12"/>
      <c r="R82" s="655"/>
      <c r="T82" s="176" t="str">
        <f t="shared" si="14"/>
        <v/>
      </c>
      <c r="U82" s="114" t="str">
        <f t="shared" si="46"/>
        <v/>
      </c>
      <c r="V82" s="94" t="str">
        <f t="shared" si="15"/>
        <v/>
      </c>
      <c r="W82" s="93" t="str">
        <f t="shared" si="15"/>
        <v/>
      </c>
      <c r="X82" s="94" t="str">
        <f t="shared" si="15"/>
        <v/>
      </c>
      <c r="Y82" s="370"/>
      <c r="Z82" s="341"/>
      <c r="AA82" s="505"/>
      <c r="AB82" s="93" t="str">
        <f t="shared" si="16"/>
        <v/>
      </c>
      <c r="AC82" s="115" t="str">
        <f t="shared" si="17"/>
        <v/>
      </c>
      <c r="AD82" s="176" t="str">
        <f t="shared" si="50"/>
        <v/>
      </c>
      <c r="AE82" s="176" t="str">
        <f t="shared" si="47"/>
        <v/>
      </c>
      <c r="AF82" s="509" t="str">
        <f t="shared" si="18"/>
        <v/>
      </c>
      <c r="AG82" s="114" t="str">
        <f>IF(D82="","",VLOOKUP(F82,'9. All Habitats + Multipliers'!$C$4:$K$102,5,FALSE))</f>
        <v/>
      </c>
      <c r="AH82" s="342" t="str">
        <f>IF(AG82="","",VLOOKUP(AG82,'11. Lists'!$B$47:$D$49,2,FALSE))</f>
        <v/>
      </c>
      <c r="AI82" s="93" t="str">
        <f t="shared" si="19"/>
        <v/>
      </c>
      <c r="AJ82" s="94" t="str">
        <f>IF(AI82="","",VLOOKUP(AI82,'11. Lists'!$F$47:$G$51,2,FALSE))</f>
        <v/>
      </c>
      <c r="AK82" s="370"/>
      <c r="AL82" s="341"/>
      <c r="AM82" s="505"/>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2"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6" t="str">
        <f>IF(D82="","",VLOOKUP(D82,'10. Condition and Temporal'!$B$6:$M$103,4,FALSE))</f>
        <v/>
      </c>
      <c r="AX82" s="176" t="str">
        <f t="shared" si="21"/>
        <v/>
      </c>
      <c r="AY82" s="461"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3" t="str">
        <f t="shared" si="49"/>
        <v/>
      </c>
      <c r="BW82" s="95" t="s">
        <v>180</v>
      </c>
      <c r="BX82" s="95">
        <f>BP66</f>
        <v>0</v>
      </c>
    </row>
    <row r="83" spans="1:76" s="25" customFormat="1" ht="15.75">
      <c r="A83" s="89"/>
      <c r="B83" s="263"/>
      <c r="C83" s="119" t="str">
        <f t="shared" si="11"/>
        <v/>
      </c>
      <c r="D83" s="207" t="str">
        <f t="shared" si="42"/>
        <v/>
      </c>
      <c r="E83" s="165" t="str">
        <f t="shared" si="12"/>
        <v/>
      </c>
      <c r="F83" s="673"/>
      <c r="G83" s="674"/>
      <c r="H83" s="162" t="str">
        <f t="shared" si="13"/>
        <v/>
      </c>
      <c r="I83" s="319" t="str">
        <f t="shared" si="43"/>
        <v/>
      </c>
      <c r="J83" s="679"/>
      <c r="K83" s="680"/>
      <c r="L83" s="282" t="str">
        <f t="shared" si="44"/>
        <v/>
      </c>
      <c r="M83" s="689" t="str">
        <f t="shared" si="45"/>
        <v/>
      </c>
      <c r="N83" s="690"/>
      <c r="O83" s="74"/>
      <c r="P83" s="12"/>
      <c r="R83" s="655"/>
      <c r="T83" s="176" t="str">
        <f t="shared" si="14"/>
        <v/>
      </c>
      <c r="U83" s="114" t="str">
        <f t="shared" si="46"/>
        <v/>
      </c>
      <c r="V83" s="94" t="str">
        <f t="shared" si="15"/>
        <v/>
      </c>
      <c r="W83" s="93" t="str">
        <f t="shared" si="15"/>
        <v/>
      </c>
      <c r="X83" s="94" t="str">
        <f t="shared" si="15"/>
        <v/>
      </c>
      <c r="Y83" s="370"/>
      <c r="Z83" s="341"/>
      <c r="AA83" s="505"/>
      <c r="AB83" s="93" t="str">
        <f t="shared" si="16"/>
        <v/>
      </c>
      <c r="AC83" s="115" t="str">
        <f t="shared" si="17"/>
        <v/>
      </c>
      <c r="AD83" s="176" t="str">
        <f t="shared" si="50"/>
        <v/>
      </c>
      <c r="AE83" s="176" t="str">
        <f t="shared" si="47"/>
        <v/>
      </c>
      <c r="AF83" s="509" t="str">
        <f t="shared" si="18"/>
        <v/>
      </c>
      <c r="AG83" s="114" t="str">
        <f>IF(D83="","",VLOOKUP(F83,'9. All Habitats + Multipliers'!$C$4:$K$102,5,FALSE))</f>
        <v/>
      </c>
      <c r="AH83" s="342" t="str">
        <f>IF(AG83="","",VLOOKUP(AG83,'11. Lists'!$B$47:$D$49,2,FALSE))</f>
        <v/>
      </c>
      <c r="AI83" s="93" t="str">
        <f t="shared" si="19"/>
        <v/>
      </c>
      <c r="AJ83" s="94" t="str">
        <f>IF(AI83="","",VLOOKUP(AI83,'11. Lists'!$F$47:$G$51,2,FALSE))</f>
        <v/>
      </c>
      <c r="AK83" s="370"/>
      <c r="AL83" s="341"/>
      <c r="AM83" s="505"/>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2"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6" t="str">
        <f>IF(D83="","",VLOOKUP(D83,'10. Condition and Temporal'!$B$6:$M$103,4,FALSE))</f>
        <v/>
      </c>
      <c r="AX83" s="176" t="str">
        <f t="shared" si="21"/>
        <v/>
      </c>
      <c r="AY83" s="461"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3" t="str">
        <f t="shared" si="49"/>
        <v/>
      </c>
      <c r="BW83" s="95" t="s">
        <v>181</v>
      </c>
      <c r="BX83" s="95">
        <f>BQ66</f>
        <v>0</v>
      </c>
    </row>
    <row r="84" spans="1:76" s="25" customFormat="1" ht="15.75">
      <c r="A84" s="89"/>
      <c r="B84" s="263"/>
      <c r="C84" s="119" t="str">
        <f t="shared" si="11"/>
        <v/>
      </c>
      <c r="D84" s="207" t="str">
        <f t="shared" si="42"/>
        <v/>
      </c>
      <c r="E84" s="165" t="str">
        <f t="shared" si="12"/>
        <v/>
      </c>
      <c r="F84" s="673"/>
      <c r="G84" s="674"/>
      <c r="H84" s="162" t="str">
        <f t="shared" si="13"/>
        <v/>
      </c>
      <c r="I84" s="319" t="str">
        <f t="shared" si="43"/>
        <v/>
      </c>
      <c r="J84" s="679"/>
      <c r="K84" s="680"/>
      <c r="L84" s="282" t="str">
        <f t="shared" si="44"/>
        <v/>
      </c>
      <c r="M84" s="689" t="str">
        <f t="shared" si="45"/>
        <v/>
      </c>
      <c r="N84" s="690"/>
      <c r="O84" s="74"/>
      <c r="P84" s="12"/>
      <c r="R84" s="655"/>
      <c r="T84" s="176" t="str">
        <f t="shared" si="14"/>
        <v/>
      </c>
      <c r="U84" s="114" t="str">
        <f t="shared" si="46"/>
        <v/>
      </c>
      <c r="V84" s="94" t="str">
        <f t="shared" si="15"/>
        <v/>
      </c>
      <c r="W84" s="93" t="str">
        <f t="shared" si="15"/>
        <v/>
      </c>
      <c r="X84" s="94" t="str">
        <f t="shared" si="15"/>
        <v/>
      </c>
      <c r="Y84" s="370"/>
      <c r="Z84" s="341"/>
      <c r="AA84" s="505"/>
      <c r="AB84" s="93" t="str">
        <f t="shared" si="16"/>
        <v/>
      </c>
      <c r="AC84" s="115" t="str">
        <f t="shared" si="17"/>
        <v/>
      </c>
      <c r="AD84" s="176" t="str">
        <f t="shared" si="50"/>
        <v/>
      </c>
      <c r="AE84" s="176" t="str">
        <f t="shared" si="47"/>
        <v/>
      </c>
      <c r="AF84" s="509" t="str">
        <f t="shared" si="18"/>
        <v/>
      </c>
      <c r="AG84" s="114" t="str">
        <f>IF(D84="","",VLOOKUP(F84,'9. All Habitats + Multipliers'!$C$4:$K$102,5,FALSE))</f>
        <v/>
      </c>
      <c r="AH84" s="342" t="str">
        <f>IF(AG84="","",VLOOKUP(AG84,'11. Lists'!$B$47:$D$49,2,FALSE))</f>
        <v/>
      </c>
      <c r="AI84" s="93" t="str">
        <f t="shared" si="19"/>
        <v/>
      </c>
      <c r="AJ84" s="94" t="str">
        <f>IF(AI84="","",VLOOKUP(AI84,'11. Lists'!$F$47:$G$51,2,FALSE))</f>
        <v/>
      </c>
      <c r="AK84" s="370"/>
      <c r="AL84" s="341"/>
      <c r="AM84" s="505"/>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2"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6" t="str">
        <f>IF(D84="","",VLOOKUP(D84,'10. Condition and Temporal'!$B$6:$M$103,4,FALSE))</f>
        <v/>
      </c>
      <c r="AX84" s="176" t="str">
        <f t="shared" si="21"/>
        <v/>
      </c>
      <c r="AY84" s="461"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3" t="str">
        <f t="shared" si="49"/>
        <v/>
      </c>
      <c r="BW84" s="95" t="s">
        <v>182</v>
      </c>
      <c r="BX84" s="95">
        <f>BR66</f>
        <v>0</v>
      </c>
    </row>
    <row r="85" spans="1:76" s="25" customFormat="1" ht="15.75">
      <c r="A85" s="89"/>
      <c r="B85" s="263"/>
      <c r="C85" s="119" t="str">
        <f t="shared" si="11"/>
        <v/>
      </c>
      <c r="D85" s="207" t="str">
        <f t="shared" si="42"/>
        <v/>
      </c>
      <c r="E85" s="165" t="str">
        <f t="shared" si="12"/>
        <v/>
      </c>
      <c r="F85" s="673"/>
      <c r="G85" s="674"/>
      <c r="H85" s="162" t="str">
        <f t="shared" si="13"/>
        <v/>
      </c>
      <c r="I85" s="319" t="str">
        <f t="shared" si="43"/>
        <v/>
      </c>
      <c r="J85" s="679"/>
      <c r="K85" s="680"/>
      <c r="L85" s="282" t="str">
        <f t="shared" si="44"/>
        <v/>
      </c>
      <c r="M85" s="689" t="str">
        <f t="shared" si="45"/>
        <v/>
      </c>
      <c r="N85" s="690"/>
      <c r="O85" s="74"/>
      <c r="P85" s="12"/>
      <c r="R85" s="655"/>
      <c r="T85" s="176" t="str">
        <f t="shared" si="14"/>
        <v/>
      </c>
      <c r="U85" s="114" t="str">
        <f t="shared" si="46"/>
        <v/>
      </c>
      <c r="V85" s="94" t="str">
        <f t="shared" si="15"/>
        <v/>
      </c>
      <c r="W85" s="93" t="str">
        <f t="shared" si="15"/>
        <v/>
      </c>
      <c r="X85" s="94" t="str">
        <f t="shared" si="15"/>
        <v/>
      </c>
      <c r="Y85" s="370"/>
      <c r="Z85" s="341"/>
      <c r="AA85" s="505"/>
      <c r="AB85" s="93" t="str">
        <f t="shared" si="16"/>
        <v/>
      </c>
      <c r="AC85" s="115" t="str">
        <f t="shared" si="17"/>
        <v/>
      </c>
      <c r="AD85" s="176" t="str">
        <f t="shared" si="50"/>
        <v/>
      </c>
      <c r="AE85" s="176" t="str">
        <f t="shared" si="47"/>
        <v/>
      </c>
      <c r="AF85" s="509" t="str">
        <f t="shared" si="18"/>
        <v/>
      </c>
      <c r="AG85" s="114" t="str">
        <f>IF(D85="","",VLOOKUP(F85,'9. All Habitats + Multipliers'!$C$4:$K$102,5,FALSE))</f>
        <v/>
      </c>
      <c r="AH85" s="342" t="str">
        <f>IF(AG85="","",VLOOKUP(AG85,'11. Lists'!$B$47:$D$49,2,FALSE))</f>
        <v/>
      </c>
      <c r="AI85" s="93" t="str">
        <f t="shared" si="19"/>
        <v/>
      </c>
      <c r="AJ85" s="94" t="str">
        <f>IF(AI85="","",VLOOKUP(AI85,'11. Lists'!$F$47:$G$51,2,FALSE))</f>
        <v/>
      </c>
      <c r="AK85" s="370"/>
      <c r="AL85" s="341"/>
      <c r="AM85" s="505"/>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2"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6" t="str">
        <f>IF(D85="","",VLOOKUP(D85,'10. Condition and Temporal'!$B$6:$M$103,4,FALSE))</f>
        <v/>
      </c>
      <c r="AX85" s="176" t="str">
        <f t="shared" si="21"/>
        <v/>
      </c>
      <c r="AY85" s="461"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3" t="str">
        <f t="shared" si="49"/>
        <v/>
      </c>
      <c r="BW85" s="95" t="s">
        <v>183</v>
      </c>
      <c r="BX85" s="95">
        <f>BS66</f>
        <v>0</v>
      </c>
    </row>
    <row r="86" spans="1:76" s="25" customFormat="1" ht="15.75">
      <c r="A86" s="89"/>
      <c r="B86" s="263"/>
      <c r="C86" s="119" t="str">
        <f t="shared" si="11"/>
        <v/>
      </c>
      <c r="D86" s="207" t="str">
        <f t="shared" si="42"/>
        <v/>
      </c>
      <c r="E86" s="165" t="str">
        <f t="shared" si="12"/>
        <v/>
      </c>
      <c r="F86" s="673"/>
      <c r="G86" s="674"/>
      <c r="H86" s="162" t="str">
        <f t="shared" si="13"/>
        <v/>
      </c>
      <c r="I86" s="319" t="str">
        <f t="shared" si="43"/>
        <v/>
      </c>
      <c r="J86" s="679"/>
      <c r="K86" s="680"/>
      <c r="L86" s="282" t="str">
        <f t="shared" si="44"/>
        <v/>
      </c>
      <c r="M86" s="689" t="str">
        <f t="shared" si="45"/>
        <v/>
      </c>
      <c r="N86" s="690"/>
      <c r="O86" s="74"/>
      <c r="P86" s="12"/>
      <c r="R86" s="655"/>
      <c r="T86" s="176" t="str">
        <f t="shared" si="14"/>
        <v/>
      </c>
      <c r="U86" s="114" t="str">
        <f t="shared" si="46"/>
        <v/>
      </c>
      <c r="V86" s="94" t="str">
        <f t="shared" si="15"/>
        <v/>
      </c>
      <c r="W86" s="93" t="str">
        <f t="shared" si="15"/>
        <v/>
      </c>
      <c r="X86" s="94" t="str">
        <f t="shared" si="15"/>
        <v/>
      </c>
      <c r="Y86" s="370"/>
      <c r="Z86" s="341"/>
      <c r="AA86" s="505"/>
      <c r="AB86" s="93" t="str">
        <f t="shared" si="16"/>
        <v/>
      </c>
      <c r="AC86" s="115" t="str">
        <f t="shared" si="17"/>
        <v/>
      </c>
      <c r="AD86" s="176" t="str">
        <f t="shared" si="50"/>
        <v/>
      </c>
      <c r="AE86" s="176" t="str">
        <f t="shared" si="47"/>
        <v/>
      </c>
      <c r="AF86" s="509" t="str">
        <f t="shared" si="18"/>
        <v/>
      </c>
      <c r="AG86" s="114" t="str">
        <f>IF(D86="","",VLOOKUP(F86,'9. All Habitats + Multipliers'!$C$4:$K$102,5,FALSE))</f>
        <v/>
      </c>
      <c r="AH86" s="342" t="str">
        <f>IF(AG86="","",VLOOKUP(AG86,'11. Lists'!$B$47:$D$49,2,FALSE))</f>
        <v/>
      </c>
      <c r="AI86" s="93" t="str">
        <f t="shared" si="19"/>
        <v/>
      </c>
      <c r="AJ86" s="94" t="str">
        <f>IF(AI86="","",VLOOKUP(AI86,'11. Lists'!$F$47:$G$51,2,FALSE))</f>
        <v/>
      </c>
      <c r="AK86" s="370"/>
      <c r="AL86" s="341"/>
      <c r="AM86" s="505"/>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2"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6" t="str">
        <f>IF(D86="","",VLOOKUP(D86,'10. Condition and Temporal'!$B$6:$M$103,4,FALSE))</f>
        <v/>
      </c>
      <c r="AX86" s="176" t="str">
        <f t="shared" si="21"/>
        <v/>
      </c>
      <c r="AY86" s="461"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3" t="str">
        <f t="shared" si="49"/>
        <v/>
      </c>
      <c r="BW86" s="95" t="s">
        <v>184</v>
      </c>
      <c r="BX86" s="95">
        <f>BT66</f>
        <v>0</v>
      </c>
    </row>
    <row r="87" spans="1:76" s="25" customFormat="1" ht="15.75">
      <c r="A87" s="89"/>
      <c r="B87" s="264"/>
      <c r="C87" s="138" t="str">
        <f t="shared" si="11"/>
        <v/>
      </c>
      <c r="D87" s="418" t="str">
        <f t="shared" si="42"/>
        <v/>
      </c>
      <c r="E87" s="166" t="str">
        <f t="shared" si="12"/>
        <v/>
      </c>
      <c r="F87" s="677"/>
      <c r="G87" s="678"/>
      <c r="H87" s="163" t="str">
        <f t="shared" si="13"/>
        <v/>
      </c>
      <c r="I87" s="425" t="str">
        <f t="shared" si="43"/>
        <v/>
      </c>
      <c r="J87" s="706"/>
      <c r="K87" s="707"/>
      <c r="L87" s="420" t="str">
        <f t="shared" si="44"/>
        <v/>
      </c>
      <c r="M87" s="699" t="str">
        <f t="shared" si="45"/>
        <v/>
      </c>
      <c r="N87" s="700"/>
      <c r="O87" s="75"/>
      <c r="P87" s="14"/>
      <c r="R87" s="655"/>
      <c r="T87" s="177" t="str">
        <f t="shared" si="14"/>
        <v/>
      </c>
      <c r="U87" s="501" t="str">
        <f t="shared" si="46"/>
        <v/>
      </c>
      <c r="V87" s="99" t="str">
        <f t="shared" si="15"/>
        <v/>
      </c>
      <c r="W87" s="98" t="str">
        <f t="shared" si="15"/>
        <v/>
      </c>
      <c r="X87" s="99" t="str">
        <f t="shared" si="15"/>
        <v/>
      </c>
      <c r="Y87" s="502"/>
      <c r="Z87" s="345"/>
      <c r="AA87" s="506"/>
      <c r="AB87" s="98" t="str">
        <f t="shared" si="16"/>
        <v/>
      </c>
      <c r="AC87" s="507" t="str">
        <f t="shared" si="17"/>
        <v/>
      </c>
      <c r="AD87" s="177" t="str">
        <f t="shared" si="50"/>
        <v/>
      </c>
      <c r="AE87" s="177" t="str">
        <f t="shared" si="47"/>
        <v/>
      </c>
      <c r="AF87" s="510" t="str">
        <f t="shared" si="18"/>
        <v/>
      </c>
      <c r="AG87" s="501" t="str">
        <f>IF(D87="","",VLOOKUP(F87,'9. All Habitats + Multipliers'!$C$4:$K$102,5,FALSE))</f>
        <v/>
      </c>
      <c r="AH87" s="474" t="str">
        <f>IF(AG87="","",VLOOKUP(AG87,'11. Lists'!$B$47:$D$49,2,FALSE))</f>
        <v/>
      </c>
      <c r="AI87" s="98" t="str">
        <f t="shared" si="19"/>
        <v/>
      </c>
      <c r="AJ87" s="99" t="str">
        <f>IF(AI87="","",VLOOKUP(AI87,'11. Lists'!$F$47:$G$51,2,FALSE))</f>
        <v/>
      </c>
      <c r="AK87" s="370"/>
      <c r="AL87" s="341"/>
      <c r="AM87" s="505"/>
      <c r="AN87" s="98" t="str">
        <f t="shared" si="20"/>
        <v/>
      </c>
      <c r="AO87" s="100" t="str">
        <f>IF(AN87="","",VLOOKUP(AN87,'11. Lists'!$F$36:$H$38,2,FALSE))</f>
        <v/>
      </c>
      <c r="AP87" s="99" t="str">
        <f>IF(AN87="","",VLOOKUP(AN87,'11. Lists'!$F$36:$H$38,3,FALSE))</f>
        <v/>
      </c>
      <c r="AQ87" s="501" t="str">
        <f>IF(D87="","",IF(AX87="Distinctiveness","N/A",VLOOKUP(F87,'10. Condition and Temporal'!$B$6:$L$103,11,FALSE)))</f>
        <v/>
      </c>
      <c r="AR87" s="519" t="str">
        <f>IF(AQ87="","",IF(AQ87="N/A","1",VLOOKUP(AQ87,'11. Lists'!$I$47:$K$80,3,FALSE)))</f>
        <v/>
      </c>
      <c r="AS87" s="523" t="str">
        <f>IF(D87="","",IF(AX87="Condition","N/A",VLOOKUP(F87,'10. Condition and Temporal'!$B$6:$M$106,12,FALSE)))</f>
        <v/>
      </c>
      <c r="AT87" s="519" t="str">
        <f>IF(AS87="","",IF(AS87="N/A","1",VLOOKUP(AS87,'11. Lists'!$I$47:$K$80,3,FALSE)))</f>
        <v/>
      </c>
      <c r="AU87" s="501" t="str">
        <f>IF(D87="","",VLOOKUP(F87,'9. All Habitats + Multipliers'!$C$4:$K$102,8,FALSE))</f>
        <v/>
      </c>
      <c r="AV87" s="507" t="str">
        <f>IF(AU87="","",VLOOKUP(AU87,'11. Lists'!$J$35:$K$38,2,FALSE))</f>
        <v/>
      </c>
      <c r="AW87" s="177" t="str">
        <f>IF(D87="","",VLOOKUP(D87,'10. Condition and Temporal'!$B$6:$M$103,4,FALSE))</f>
        <v/>
      </c>
      <c r="AX87" s="177" t="str">
        <f t="shared" si="21"/>
        <v/>
      </c>
      <c r="AY87" s="462"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3" t="str">
        <f t="shared" si="49"/>
        <v/>
      </c>
      <c r="BW87" s="95" t="s">
        <v>185</v>
      </c>
      <c r="BX87" s="95">
        <f>BU66</f>
        <v>0</v>
      </c>
    </row>
    <row r="88" spans="1:76" s="25" customFormat="1" ht="32.65" hidden="1" customHeight="1">
      <c r="A88" s="89"/>
      <c r="B88" s="266"/>
      <c r="C88" s="97"/>
      <c r="D88" s="400"/>
      <c r="E88" s="97" t="str">
        <f t="shared" si="12"/>
        <v/>
      </c>
      <c r="F88" s="675"/>
      <c r="G88" s="676"/>
      <c r="H88" s="401"/>
      <c r="I88" s="402"/>
      <c r="J88" s="838"/>
      <c r="K88" s="839"/>
      <c r="L88" s="403" t="str">
        <f t="shared" ref="L88" si="51">IFERROR(IF(D88="","",IF(AX88="Distinctiveness",(((((I88*AH88*AJ88)-(I88*V88*X88))*(AV88*AT88))+(I88*V88*X88))*(AP88))/10000,((((I88*AJ88*AH88)-(I88*V88*X88))*(AV88*AR88))+(I88*V88*X88))*AP88/10000)),"This intervention is not permitted within the SSM ▲")</f>
        <v/>
      </c>
      <c r="M88" s="697"/>
      <c r="N88" s="698"/>
      <c r="O88" s="404"/>
      <c r="P88" s="39"/>
      <c r="R88" s="655"/>
      <c r="T88" s="169" t="str">
        <f t="shared" si="14"/>
        <v/>
      </c>
      <c r="U88" s="170" t="str">
        <f>IF($D88="","",T31)</f>
        <v/>
      </c>
      <c r="V88" s="347" t="str">
        <f t="shared" si="15"/>
        <v/>
      </c>
      <c r="W88" s="170" t="str">
        <f t="shared" si="15"/>
        <v/>
      </c>
      <c r="X88" s="172" t="str">
        <f t="shared" si="15"/>
        <v/>
      </c>
      <c r="Y88" s="346"/>
      <c r="Z88" s="346"/>
      <c r="AA88" s="346"/>
      <c r="AB88" s="172" t="str">
        <f t="shared" si="16"/>
        <v/>
      </c>
      <c r="AC88" s="172" t="str">
        <f t="shared" si="17"/>
        <v/>
      </c>
      <c r="AD88" s="171" t="str">
        <f t="shared" ref="AD88" si="52">IF(AC88="","",(T88*V88*X88)*(AA88*AC88)/10000)</f>
        <v/>
      </c>
      <c r="AE88" s="179" t="str">
        <f>IF(AD88="","",IF(AH88&lt;V88,"Not Acceptable","Acceptable"))</f>
        <v/>
      </c>
      <c r="AF88" s="169" t="str">
        <f t="shared" si="18"/>
        <v/>
      </c>
      <c r="AG88" s="170" t="str">
        <f>IF(D88="","",VLOOKUP(F88,'9. All Habitats + Multipliers'!$C$4:$K$102,5,FALSE))</f>
        <v/>
      </c>
      <c r="AH88" s="171" t="str">
        <f>IF(AG88="","",VLOOKUP(AG88,'11. Lists'!$B$47:$D$49,2,FALSE))</f>
        <v/>
      </c>
      <c r="AI88" s="512" t="str">
        <f t="shared" si="19"/>
        <v/>
      </c>
      <c r="AJ88" s="501" t="str">
        <f>IF(AI88="","",VLOOKUP(AI88,'11. Lists'!$F$47:$G$51,2,FALSE))</f>
        <v/>
      </c>
      <c r="AK88" s="362"/>
      <c r="AL88" s="362"/>
      <c r="AM88" s="362"/>
      <c r="AN88" s="507" t="str">
        <f t="shared" si="20"/>
        <v/>
      </c>
      <c r="AO88" s="515" t="str">
        <f>IF(AN88="","",VLOOKUP(AN88,'11. Lists'!$F$36:$H$38,2,FALSE))</f>
        <v/>
      </c>
      <c r="AP88" s="507" t="str">
        <f>IF(AN88="","",VLOOKUP(AN88,'11. Lists'!$F$36:$H$38,3,FALSE))</f>
        <v/>
      </c>
      <c r="AQ88" s="170" t="str">
        <f>IF(D88="","",VLOOKUP(F88,'10. Condition and Temporal'!$B$6:$L$103,11,FALSE))</f>
        <v/>
      </c>
      <c r="AR88" s="174" t="str">
        <f>IF(AQ88="","",VLOOKUP(AQ88,'11. Lists'!$I$47:$K$80,3,FALSE))</f>
        <v/>
      </c>
      <c r="AS88" s="520" t="str">
        <f>IF(D88="","",VLOOKUP(F88,'10. Condition and Temporal'!$B$6:$M$106,12,FALSE))</f>
        <v/>
      </c>
      <c r="AT88" s="118" t="str">
        <f>IF(AS88="","",IF(AS88="N/A","1",VLOOKUP(AS88,'11. Lists'!$I$47:$K$80,3,FALSE)))</f>
        <v/>
      </c>
      <c r="AU88" s="173" t="str">
        <f>IF(D88="","",VLOOKUP(F88,'9. All Habitats + Multipliers'!$C$4:$K$102,8,FALSE))</f>
        <v/>
      </c>
      <c r="AV88" s="171" t="str">
        <f>IF(AU88="","",VLOOKUP(AU88,'11. Lists'!$J$35:$K$38,2,FALSE))</f>
        <v/>
      </c>
      <c r="AW88" s="170" t="str">
        <f>IF(D88="","",VLOOKUP(D88,'10. Condition and Temporal'!$B$6:$M$103,4,FALSE))</f>
        <v/>
      </c>
      <c r="AX88" s="171" t="str">
        <f>IF(F88="","",IF(D88=F88,"Condition","Distinctivness"))</f>
        <v/>
      </c>
      <c r="AY88" s="25">
        <f t="shared" ref="AY88" si="53">C88</f>
        <v>0</v>
      </c>
    </row>
    <row r="89" spans="1:76" s="25" customFormat="1">
      <c r="B89"/>
      <c r="C89"/>
      <c r="D89"/>
      <c r="E89"/>
      <c r="F89"/>
      <c r="G89"/>
      <c r="H89" s="175"/>
      <c r="I89" s="316">
        <f>SUM(I68:I88)</f>
        <v>6000</v>
      </c>
      <c r="J89" s="217"/>
      <c r="K89" s="215"/>
      <c r="L89" s="283">
        <f>SUM(L68:L88)</f>
        <v>3.8064391332</v>
      </c>
      <c r="M89" s="701">
        <f>SUM(M68:N88)</f>
        <v>1.4064391332000001</v>
      </c>
      <c r="N89" s="698"/>
      <c r="O89"/>
      <c r="R89" s="655"/>
    </row>
    <row r="90" spans="1:76" s="25" customFormat="1">
      <c r="B90"/>
      <c r="C90" s="26"/>
      <c r="D90"/>
      <c r="E90"/>
      <c r="F90"/>
      <c r="G90"/>
      <c r="H90"/>
      <c r="I90"/>
      <c r="J90"/>
      <c r="K90"/>
      <c r="L90"/>
      <c r="M90"/>
      <c r="N90"/>
      <c r="O90"/>
      <c r="R90" s="655"/>
    </row>
    <row r="91" spans="1:76" s="25" customFormat="1" ht="21">
      <c r="B91" s="57" t="s">
        <v>186</v>
      </c>
      <c r="R91" s="655"/>
    </row>
    <row r="92" spans="1:76" s="25" customFormat="1">
      <c r="D92" s="88"/>
      <c r="R92" s="655"/>
    </row>
    <row r="93" spans="1:76" s="25" customFormat="1" ht="48" customHeight="1">
      <c r="B93" s="757" t="s">
        <v>187</v>
      </c>
      <c r="C93" s="759"/>
      <c r="D93" s="843" t="s">
        <v>188</v>
      </c>
      <c r="E93" s="845" t="s">
        <v>189</v>
      </c>
      <c r="F93" s="846"/>
      <c r="G93" s="845" t="s">
        <v>190</v>
      </c>
      <c r="H93" s="759"/>
      <c r="I93" s="849" t="s">
        <v>191</v>
      </c>
      <c r="J93" s="850"/>
      <c r="K93" s="850"/>
      <c r="L93" s="850"/>
      <c r="M93" s="850"/>
      <c r="N93" s="850"/>
      <c r="O93" s="850"/>
      <c r="P93" s="851"/>
      <c r="R93" s="655"/>
    </row>
    <row r="94" spans="1:76" s="25" customFormat="1" ht="15.6" customHeight="1">
      <c r="B94" s="760"/>
      <c r="C94" s="762"/>
      <c r="D94" s="844"/>
      <c r="E94" s="847"/>
      <c r="F94" s="848"/>
      <c r="G94" s="847"/>
      <c r="H94" s="762"/>
      <c r="I94" s="737" t="s">
        <v>192</v>
      </c>
      <c r="J94" s="786"/>
      <c r="K94" s="771"/>
      <c r="L94" s="724" t="s">
        <v>193</v>
      </c>
      <c r="M94" s="786"/>
      <c r="N94" s="771"/>
      <c r="O94" s="724" t="s">
        <v>194</v>
      </c>
      <c r="P94" s="725"/>
      <c r="R94" s="655"/>
    </row>
    <row r="95" spans="1:76" s="25" customFormat="1" ht="23.1" customHeight="1">
      <c r="B95" s="745" t="s">
        <v>195</v>
      </c>
      <c r="C95" s="746"/>
      <c r="D95" s="155"/>
      <c r="E95" s="704"/>
      <c r="F95" s="705"/>
      <c r="G95" s="852"/>
      <c r="H95" s="853"/>
      <c r="I95" s="694">
        <f>D95*'11. Lists'!P47</f>
        <v>0</v>
      </c>
      <c r="J95" s="695"/>
      <c r="K95" s="696"/>
      <c r="L95" s="658">
        <f>IF(E95&gt;D95, "Error ▲", E95*'11. Lists'!P47)</f>
        <v>0</v>
      </c>
      <c r="M95" s="695"/>
      <c r="N95" s="696"/>
      <c r="O95" s="658">
        <f>G95*'11. Lists'!P47</f>
        <v>0</v>
      </c>
      <c r="P95" s="659"/>
      <c r="R95" s="655"/>
    </row>
    <row r="96" spans="1:76" s="25" customFormat="1" ht="24.6" customHeight="1">
      <c r="B96" s="743" t="s">
        <v>196</v>
      </c>
      <c r="C96" s="744"/>
      <c r="D96" s="212"/>
      <c r="E96" s="702"/>
      <c r="F96" s="703"/>
      <c r="G96" s="854"/>
      <c r="H96" s="855"/>
      <c r="I96" s="691">
        <f>D96*'11. Lists'!P48</f>
        <v>0</v>
      </c>
      <c r="J96" s="692"/>
      <c r="K96" s="693"/>
      <c r="L96" s="660">
        <f>IF(E96&gt;D96,"Error ▲",(E96*'11. Lists'!P48))</f>
        <v>0</v>
      </c>
      <c r="M96" s="692"/>
      <c r="N96" s="693"/>
      <c r="O96" s="660">
        <f>G96*'11. Lists'!P48</f>
        <v>0</v>
      </c>
      <c r="P96" s="661"/>
      <c r="R96" s="655"/>
    </row>
    <row r="97" spans="1:18" s="25" customFormat="1" ht="24.6" customHeight="1">
      <c r="B97" s="743" t="s">
        <v>197</v>
      </c>
      <c r="C97" s="744"/>
      <c r="D97" s="212"/>
      <c r="E97" s="702"/>
      <c r="F97" s="703"/>
      <c r="G97" s="854"/>
      <c r="H97" s="855"/>
      <c r="I97" s="691">
        <f>D97*'11. Lists'!P49</f>
        <v>0</v>
      </c>
      <c r="J97" s="692"/>
      <c r="K97" s="693"/>
      <c r="L97" s="660">
        <f>IF(E97&gt;D97,"Error ▲",(E97*'11. Lists'!P49))</f>
        <v>0</v>
      </c>
      <c r="M97" s="692"/>
      <c r="N97" s="693"/>
      <c r="O97" s="660">
        <f>G97*'11. Lists'!P49</f>
        <v>0</v>
      </c>
      <c r="P97" s="661"/>
      <c r="R97" s="655"/>
    </row>
    <row r="98" spans="1:18" s="25" customFormat="1" ht="24.6" customHeight="1">
      <c r="B98" s="743" t="s">
        <v>198</v>
      </c>
      <c r="C98" s="744"/>
      <c r="D98" s="212"/>
      <c r="E98" s="702"/>
      <c r="F98" s="703"/>
      <c r="G98" s="854"/>
      <c r="H98" s="855"/>
      <c r="I98" s="691">
        <f>D98*'11. Lists'!P50</f>
        <v>0</v>
      </c>
      <c r="J98" s="692"/>
      <c r="K98" s="693"/>
      <c r="L98" s="660">
        <f>IF(E98&gt;D98,"Error ▲",(E98*'11. Lists'!P50))</f>
        <v>0</v>
      </c>
      <c r="M98" s="692"/>
      <c r="N98" s="693"/>
      <c r="O98" s="660">
        <f>G98*'11. Lists'!P50</f>
        <v>0</v>
      </c>
      <c r="P98" s="661"/>
      <c r="R98" s="655"/>
    </row>
    <row r="99" spans="1:18" s="25" customFormat="1" ht="24.6" customHeight="1">
      <c r="B99" s="646" t="s">
        <v>199</v>
      </c>
      <c r="C99" s="738"/>
      <c r="D99" s="284">
        <f>SUM(D95:D98)</f>
        <v>0</v>
      </c>
      <c r="E99" s="656">
        <f>SUM(E95:F98)</f>
        <v>0</v>
      </c>
      <c r="F99" s="709"/>
      <c r="G99" s="656">
        <f>SUM(G95:H98)</f>
        <v>0</v>
      </c>
      <c r="H99" s="657"/>
      <c r="I99" s="709">
        <f>SUM(I95:K98)</f>
        <v>0</v>
      </c>
      <c r="J99" s="708"/>
      <c r="K99" s="708"/>
      <c r="L99" s="708">
        <f>SUM(L95:N98)</f>
        <v>0</v>
      </c>
      <c r="M99" s="708"/>
      <c r="N99" s="708"/>
      <c r="O99" s="656">
        <f>SUM(O95:P98)</f>
        <v>0</v>
      </c>
      <c r="P99" s="657"/>
      <c r="R99" s="655"/>
    </row>
    <row r="100" spans="1:18" s="25" customFormat="1" ht="19.149999999999999" customHeight="1">
      <c r="E100" s="686" t="str">
        <f>IFERROR(IF(OR(E95&gt;D95, E96&gt;D96, E97&gt;D97, E98&gt;D98), "Error - trees retained and lost is greater than number of pre-development trees ▲", ""), "Error  ▲")</f>
        <v/>
      </c>
      <c r="F100" s="686"/>
      <c r="G100" s="686"/>
      <c r="R100" s="655"/>
    </row>
    <row r="101" spans="1:18" s="25" customFormat="1">
      <c r="R101" s="655"/>
    </row>
    <row r="102" spans="1:18" s="25" customFormat="1">
      <c r="A102" s="655" t="s">
        <v>200</v>
      </c>
      <c r="B102" s="655"/>
      <c r="C102" s="655"/>
      <c r="D102" s="655"/>
      <c r="E102" s="655"/>
      <c r="F102" s="655"/>
      <c r="G102" s="655"/>
      <c r="H102" s="655"/>
      <c r="I102" s="655"/>
      <c r="J102" s="655"/>
      <c r="K102" s="655"/>
      <c r="L102" s="655"/>
      <c r="M102" s="655"/>
      <c r="N102" s="655"/>
      <c r="O102" s="655"/>
      <c r="P102" s="655"/>
      <c r="Q102" s="655"/>
      <c r="R102" s="655"/>
    </row>
    <row r="103" spans="1:18" s="25" customFormat="1">
      <c r="A103" s="655"/>
      <c r="B103" s="655"/>
      <c r="C103" s="655"/>
      <c r="D103" s="655"/>
      <c r="E103" s="655"/>
      <c r="F103" s="655"/>
      <c r="G103" s="655"/>
      <c r="H103" s="655"/>
      <c r="I103" s="655"/>
      <c r="J103" s="655"/>
      <c r="K103" s="655"/>
      <c r="L103" s="655"/>
      <c r="M103" s="655"/>
      <c r="N103" s="655"/>
      <c r="O103" s="655"/>
      <c r="P103" s="655"/>
      <c r="Q103" s="655"/>
      <c r="R103" s="655"/>
    </row>
    <row r="104" spans="1:18" s="25" customFormat="1">
      <c r="A104" s="655"/>
      <c r="B104" s="655"/>
      <c r="C104" s="655"/>
      <c r="D104" s="655"/>
      <c r="E104" s="655"/>
      <c r="F104" s="655"/>
      <c r="G104" s="655"/>
      <c r="H104" s="655"/>
      <c r="I104" s="655"/>
      <c r="J104" s="655"/>
      <c r="K104" s="655"/>
      <c r="L104" s="655"/>
      <c r="M104" s="655"/>
      <c r="N104" s="655"/>
      <c r="O104" s="655"/>
      <c r="P104" s="655"/>
      <c r="Q104" s="655"/>
      <c r="R104" s="655"/>
    </row>
    <row r="105" spans="1:18" s="25" customFormat="1">
      <c r="R105" s="655"/>
    </row>
    <row r="106" spans="1:18" s="25" customFormat="1" ht="21">
      <c r="B106" s="57" t="s">
        <v>201</v>
      </c>
      <c r="D106" s="26"/>
      <c r="E106" s="26"/>
      <c r="F106" s="26"/>
      <c r="G106" s="26"/>
      <c r="R106" s="655"/>
    </row>
    <row r="107" spans="1:18" s="25" customFormat="1">
      <c r="R107" s="655"/>
    </row>
    <row r="108" spans="1:18" s="25" customFormat="1" ht="36.6" customHeight="1">
      <c r="B108" s="740" t="s">
        <v>202</v>
      </c>
      <c r="C108" s="741"/>
      <c r="D108" s="742"/>
      <c r="E108" s="731" t="str">
        <f>IF(SUM(J114:J135)&gt;0,"Error - Trading Rules Not Satisfied - Insufficient Units Created Within Habitat Groups ▲", "Trading Rules Satisfied ✓")</f>
        <v>Trading Rules Satisfied ✓</v>
      </c>
      <c r="F108" s="731"/>
      <c r="G108" s="731"/>
      <c r="H108" s="731"/>
      <c r="I108" s="732"/>
      <c r="J108" s="157">
        <f>IFERROR(FIND("Error",E108),0)</f>
        <v>0</v>
      </c>
      <c r="R108" s="655"/>
    </row>
    <row r="109" spans="1:18" s="25" customFormat="1" ht="36" customHeight="1">
      <c r="B109" s="733" t="s">
        <v>203</v>
      </c>
      <c r="C109" s="734"/>
      <c r="D109" s="735"/>
      <c r="E109" s="729" t="str">
        <f>IF(SUM(J138:J140)&gt;0,"Error - Trading Rules Not Satisfied - Insufficient Biodiversity Units Created ▲","Trading Rules Satisfied ✓")</f>
        <v>Trading Rules Satisfied ✓</v>
      </c>
      <c r="F109" s="729"/>
      <c r="G109" s="729"/>
      <c r="H109" s="729"/>
      <c r="I109" s="730"/>
      <c r="J109" s="157">
        <f>IFERROR(FIND("Error",E109),0)</f>
        <v>0</v>
      </c>
      <c r="R109" s="655"/>
    </row>
    <row r="110" spans="1:18" s="25" customFormat="1">
      <c r="R110" s="655"/>
    </row>
    <row r="111" spans="1:18" s="25" customFormat="1" ht="21">
      <c r="B111" s="57" t="s">
        <v>204</v>
      </c>
      <c r="R111" s="655"/>
    </row>
    <row r="112" spans="1:18" s="25" customFormat="1">
      <c r="R112" s="655"/>
    </row>
    <row r="113" spans="2:18" s="25" customFormat="1" ht="36.6" customHeight="1">
      <c r="B113" s="792" t="s">
        <v>205</v>
      </c>
      <c r="C113" s="793"/>
      <c r="D113" s="793"/>
      <c r="E113" s="211" t="s">
        <v>206</v>
      </c>
      <c r="F113" s="211" t="s">
        <v>207</v>
      </c>
      <c r="G113" s="211" t="s">
        <v>208</v>
      </c>
      <c r="H113" s="211" t="s">
        <v>209</v>
      </c>
      <c r="I113" s="120" t="s">
        <v>210</v>
      </c>
      <c r="J113" s="428"/>
      <c r="R113" s="655"/>
    </row>
    <row r="114" spans="2:18" s="25" customFormat="1" ht="15.6" customHeight="1">
      <c r="B114" s="794" t="s">
        <v>211</v>
      </c>
      <c r="C114" s="795"/>
      <c r="D114" s="796"/>
      <c r="E114" s="121" t="s">
        <v>212</v>
      </c>
      <c r="F114" s="122">
        <f>SUMIFS($L$11:$L$30,$C$11:$C$30,$B114,$T$11:$T$30,$E114)</f>
        <v>0</v>
      </c>
      <c r="G114" s="122">
        <f>SUMIFS($L$40:$L$59,$C$40:$C$59,$B114,$T$40:$T$59,$E114)+SUMIFS($L$68:$L$87,AY68:AY87,B114,$AG$68:$AG$87,E114)+SUMIFS($AE$11:$AE$31,$C$11:$C$31,B114,$T$11:$T$31,E114)</f>
        <v>0</v>
      </c>
      <c r="H114" s="122">
        <f>G114-F114</f>
        <v>0</v>
      </c>
      <c r="I114" s="123" t="s">
        <v>213</v>
      </c>
      <c r="J114" s="157"/>
      <c r="R114" s="655"/>
    </row>
    <row r="115" spans="2:18" s="25" customFormat="1" ht="15.6" customHeight="1">
      <c r="B115" s="797"/>
      <c r="C115" s="798"/>
      <c r="D115" s="799"/>
      <c r="E115" s="124" t="s">
        <v>214</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5"/>
    </row>
    <row r="116" spans="2:18" s="25" customFormat="1" ht="15.6" customHeight="1">
      <c r="B116" s="794" t="s">
        <v>215</v>
      </c>
      <c r="C116" s="795"/>
      <c r="D116" s="796"/>
      <c r="E116" s="121" t="s">
        <v>212</v>
      </c>
      <c r="F116" s="122">
        <f>SUMIFS($L$11:$L$30,$C$11:$C$30,$B116,$T$11:$T$30,$E116)</f>
        <v>2.5464519999999999</v>
      </c>
      <c r="G116" s="122">
        <f>SUMIFS($L$40:$L$59,$C$40:$C$59,$B116,$T$40:$T$59,$E116)+SUMIFS($L$68:$L$87,AY68:AY87,B116,$AG$68:$AG$87,E116)+SUMIFS($AE$11:$AE$31,$C$11:$C$31,B116,$T$11:$T$31,E116)</f>
        <v>0</v>
      </c>
      <c r="H116" s="122">
        <f>G116-F116</f>
        <v>-2.5464519999999999</v>
      </c>
      <c r="I116" s="123" t="s">
        <v>213</v>
      </c>
      <c r="J116" s="157"/>
      <c r="R116" s="655"/>
    </row>
    <row r="117" spans="2:18" s="25" customFormat="1" ht="15.6" customHeight="1">
      <c r="B117" s="797"/>
      <c r="C117" s="798"/>
      <c r="D117" s="799"/>
      <c r="E117" s="124" t="s">
        <v>214</v>
      </c>
      <c r="F117" s="122">
        <f>SUMIFS($L$11:$L$30,$C$11:$C$30,$B116,$T$11:$T$30,$E117)</f>
        <v>0</v>
      </c>
      <c r="G117" s="122">
        <f>SUMIFS($L$40:$L$59,$C$40:$C$59,$B116,$T$40:$T$59,$E117)+SUMIFS($L$68:$L$87,AY68:AY87,B116,$AG$68:$AG$87,E117)+SUMIFS($AE$11:$AE$31,$C$11:$C$31,B116,$T$11:$T$31,E117)</f>
        <v>3.8064391332</v>
      </c>
      <c r="H117" s="122">
        <f t="shared" ref="H117:H131" si="54">G117-F117</f>
        <v>3.8064391332</v>
      </c>
      <c r="I117" s="125" t="str">
        <f>IF(F117=0,"N/A",IF(H117&lt;0,"No ▲","Yes ✓"))</f>
        <v>N/A</v>
      </c>
      <c r="J117" s="157">
        <f>IF(I117="No ▲",1,0)</f>
        <v>0</v>
      </c>
      <c r="R117" s="655"/>
    </row>
    <row r="118" spans="2:18" s="25" customFormat="1" ht="15.6" customHeight="1">
      <c r="B118" s="794" t="s">
        <v>216</v>
      </c>
      <c r="C118" s="795"/>
      <c r="D118" s="796"/>
      <c r="E118" s="121" t="s">
        <v>212</v>
      </c>
      <c r="F118" s="122">
        <f>SUMIFS($L$11:$L$30,$C$11:$C$30,$B118,$T$11:$T$30,$E118)</f>
        <v>0</v>
      </c>
      <c r="G118" s="122">
        <f>SUMIFS($L$40:$L$59,$C$40:$C$59,$B118,$T$40:$T$59,$E118)+SUMIFS($L$68:$L$87,$C$68:$C$87,B118,$AG$68:$AG$87,E118)+SUMIFS($AE$11:$AE$31,$C$11:$C$31,B118,$T$11:$T$31,E118)</f>
        <v>0</v>
      </c>
      <c r="H118" s="122">
        <f t="shared" si="54"/>
        <v>0</v>
      </c>
      <c r="I118" s="123" t="s">
        <v>213</v>
      </c>
      <c r="J118" s="157"/>
      <c r="R118" s="655"/>
    </row>
    <row r="119" spans="2:18" s="25" customFormat="1" ht="15.6" customHeight="1">
      <c r="B119" s="797"/>
      <c r="C119" s="798"/>
      <c r="D119" s="799"/>
      <c r="E119" s="124" t="s">
        <v>214</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5"/>
    </row>
    <row r="120" spans="2:18" s="25" customFormat="1" ht="15.6" customHeight="1">
      <c r="B120" s="794" t="s">
        <v>217</v>
      </c>
      <c r="C120" s="795"/>
      <c r="D120" s="796"/>
      <c r="E120" s="121" t="s">
        <v>212</v>
      </c>
      <c r="F120" s="122">
        <f>SUMIFS($L$11:$L$30,$C$11:$C$30,$B120,$T$11:$T$30,$E120)</f>
        <v>0</v>
      </c>
      <c r="G120" s="122">
        <f>SUMIFS($L$40:$L$59,$C$40:$C$59,$B120,$T$40:$T$59,$E120)+SUMIFS($L$68:$L$87,$C$68:$C$87,B120,$AG$68:$AG$87,E120)+SUMIFS($AE$11:$AE$31,$C$11:$C$31,B120,$T$11:$T$31,E120)</f>
        <v>0</v>
      </c>
      <c r="H120" s="122">
        <f>G120-F120</f>
        <v>0</v>
      </c>
      <c r="I120" s="123" t="s">
        <v>213</v>
      </c>
      <c r="J120" s="157"/>
      <c r="R120" s="655"/>
    </row>
    <row r="121" spans="2:18" s="25" customFormat="1" ht="15.6" customHeight="1">
      <c r="B121" s="797"/>
      <c r="C121" s="798"/>
      <c r="D121" s="799"/>
      <c r="E121" s="124" t="s">
        <v>214</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5"/>
    </row>
    <row r="122" spans="2:18" s="25" customFormat="1" ht="15.6" customHeight="1">
      <c r="B122" s="794" t="s">
        <v>218</v>
      </c>
      <c r="C122" s="795"/>
      <c r="D122" s="796"/>
      <c r="E122" s="121" t="s">
        <v>212</v>
      </c>
      <c r="F122" s="122">
        <f>SUMIFS($L$11:$L$30,$C$11:$C$30,$B122,$T$11:$T$30,$E122)</f>
        <v>0</v>
      </c>
      <c r="G122" s="122">
        <f>SUMIFS($L$40:$L$59,$C$40:$C$59,$B122,$T$40:$T$59,$E122)+SUMIFS($L$68:$L$87,$C$68:$C$87,B122,$AG$68:$AG$87,E122)+SUMIFS($AE$11:$AE$31,$C$11:$C$31,B122,$T$11:$T$31,E122)</f>
        <v>0</v>
      </c>
      <c r="H122" s="122">
        <f t="shared" si="54"/>
        <v>0</v>
      </c>
      <c r="I122" s="123" t="s">
        <v>213</v>
      </c>
      <c r="J122" s="157"/>
      <c r="R122" s="655"/>
    </row>
    <row r="123" spans="2:18" s="25" customFormat="1" ht="15.6" customHeight="1">
      <c r="B123" s="797"/>
      <c r="C123" s="798"/>
      <c r="D123" s="799"/>
      <c r="E123" s="124" t="s">
        <v>214</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5"/>
    </row>
    <row r="124" spans="2:18" s="25" customFormat="1" ht="15.6" customHeight="1">
      <c r="B124" s="794" t="s">
        <v>219</v>
      </c>
      <c r="C124" s="795"/>
      <c r="D124" s="796"/>
      <c r="E124" s="121" t="s">
        <v>212</v>
      </c>
      <c r="F124" s="122">
        <f>SUMIFS($L$11:$L$30,$C$11:$C$30,$B124,$T$11:$T$30,$E124)</f>
        <v>0</v>
      </c>
      <c r="G124" s="122">
        <f>SUMIFS($L$40:$L$59,$C$40:$C$59,$B124,$T$40:$T$59,$E124)+SUMIFS($L$68:$L$87,$C$68:$C$87,B124,$AG$68:$AG$87,E124)+SUMIFS($AE$11:$AE$31,$C$11:$C$31,B124,$T$11:$T$31,E124)</f>
        <v>0</v>
      </c>
      <c r="H124" s="122">
        <f t="shared" si="54"/>
        <v>0</v>
      </c>
      <c r="I124" s="123" t="s">
        <v>213</v>
      </c>
      <c r="J124" s="157"/>
      <c r="R124" s="655"/>
    </row>
    <row r="125" spans="2:18" s="25" customFormat="1" ht="15.6" customHeight="1">
      <c r="B125" s="797"/>
      <c r="C125" s="798"/>
      <c r="D125" s="799"/>
      <c r="E125" s="124" t="s">
        <v>214</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5"/>
    </row>
    <row r="126" spans="2:18" s="25" customFormat="1" ht="15.6" customHeight="1">
      <c r="B126" s="794" t="s">
        <v>220</v>
      </c>
      <c r="C126" s="795"/>
      <c r="D126" s="796"/>
      <c r="E126" s="121" t="s">
        <v>212</v>
      </c>
      <c r="F126" s="122">
        <f>SUMIFS($L$11:$L$30,$C$11:$C$30,$B126,$T$11:$T$30,$E126)</f>
        <v>0</v>
      </c>
      <c r="G126" s="122">
        <f>SUMIFS($L$40:$L$59,$C$40:$C$59,$B126,$T$40:$T$59,$E126)+SUMIFS($L$68:$L$87,AY68:AY87,B126,$AG$68:$AG$87,E126)+SUMIFS($AE$11:$AE$31,$C$11:$C$31,B126,$T$11:$T$31,E126)</f>
        <v>0</v>
      </c>
      <c r="H126" s="122">
        <f t="shared" si="54"/>
        <v>0</v>
      </c>
      <c r="I126" s="123" t="s">
        <v>213</v>
      </c>
      <c r="J126" s="157"/>
      <c r="R126" s="655"/>
    </row>
    <row r="127" spans="2:18" s="25" customFormat="1" ht="15.6" customHeight="1">
      <c r="B127" s="797"/>
      <c r="C127" s="798"/>
      <c r="D127" s="799"/>
      <c r="E127" s="124" t="s">
        <v>214</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5"/>
    </row>
    <row r="128" spans="2:18" s="25" customFormat="1" ht="15.6" customHeight="1">
      <c r="B128" s="794" t="s">
        <v>221</v>
      </c>
      <c r="C128" s="795"/>
      <c r="D128" s="796"/>
      <c r="E128" s="121" t="s">
        <v>212</v>
      </c>
      <c r="F128" s="122">
        <f>SUMIFS($L$11:$L$30,$C$11:$C$30,$B128,$T$11:$T$30,$E128)</f>
        <v>0</v>
      </c>
      <c r="G128" s="122">
        <f>SUMIFS($L$40:$L$59,$C$40:$C$59,$B128,$T$40:$T$59,$E128)+SUMIFS($L$68:$L$87,AY68:AY87,B128,$AG$68:$AG$87,E128)+SUMIFS($AE$11:$AE$31,$C$11:$C$31,B128,$T$11:$T$31,E128)</f>
        <v>0</v>
      </c>
      <c r="H128" s="122">
        <f t="shared" si="54"/>
        <v>0</v>
      </c>
      <c r="I128" s="123" t="s">
        <v>213</v>
      </c>
      <c r="J128" s="157"/>
      <c r="R128" s="655"/>
    </row>
    <row r="129" spans="2:18" s="25" customFormat="1" ht="15.6" customHeight="1">
      <c r="B129" s="797"/>
      <c r="C129" s="798"/>
      <c r="D129" s="799"/>
      <c r="E129" s="124" t="s">
        <v>214</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5"/>
    </row>
    <row r="130" spans="2:18" s="25" customFormat="1" ht="15.6" customHeight="1">
      <c r="B130" s="794" t="s">
        <v>222</v>
      </c>
      <c r="C130" s="795"/>
      <c r="D130" s="796"/>
      <c r="E130" s="121" t="s">
        <v>212</v>
      </c>
      <c r="F130" s="122">
        <f>SUMIFS($L$11:$L$30,$C$11:$C$30,$B130,$T$11:$T$30,$E130)</f>
        <v>0</v>
      </c>
      <c r="G130" s="122">
        <f>SUMIFS($L$40:$L$59,$C$40:$C$59,$B130,$T$40:$T$59,$E130)+SUMIFS($L$68:$L$87,$C$68:$C$87,B130,$AG$68:$AG$87,E130)+SUMIFS($AE$11:$AE$31,$C$11:$C$31,B130,$T$11:$T$31,E130)</f>
        <v>0</v>
      </c>
      <c r="H130" s="122">
        <f t="shared" si="54"/>
        <v>0</v>
      </c>
      <c r="I130" s="123" t="s">
        <v>213</v>
      </c>
      <c r="J130" s="157"/>
      <c r="R130" s="655"/>
    </row>
    <row r="131" spans="2:18" s="25" customFormat="1" ht="15.6" customHeight="1">
      <c r="B131" s="797"/>
      <c r="C131" s="798"/>
      <c r="D131" s="799"/>
      <c r="E131" s="124" t="s">
        <v>214</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5"/>
    </row>
    <row r="132" spans="2:18" s="25" customFormat="1" ht="15.6" customHeight="1">
      <c r="B132" s="794" t="s">
        <v>223</v>
      </c>
      <c r="C132" s="795"/>
      <c r="D132" s="795"/>
      <c r="E132" s="121" t="s">
        <v>212</v>
      </c>
      <c r="F132" s="122">
        <f>SUMIFS($L$11:$L$30,$C$11:$C$30,$B132,$T$11:$T$30,$E132)</f>
        <v>0</v>
      </c>
      <c r="G132" s="122">
        <f>SUMIFS($L$40:$L$59,$C$40:$C$59,$B132,$T$40:$T$59,$E132)+SUMIFS($L$68:$L$87,$C$68:$C$87,B132,$AG$68:$AG$87,E132)+SUMIFS($AE$11:$AE$31,$C$11:$C$31,B132,$T$11:$T$31,E132)</f>
        <v>0</v>
      </c>
      <c r="H132" s="122">
        <f>G132-F132</f>
        <v>0</v>
      </c>
      <c r="I132" s="123" t="s">
        <v>213</v>
      </c>
      <c r="J132" s="157"/>
      <c r="R132" s="655"/>
    </row>
    <row r="133" spans="2:18" s="25" customFormat="1" ht="15.6" customHeight="1">
      <c r="B133" s="809"/>
      <c r="C133" s="810"/>
      <c r="D133" s="810"/>
      <c r="E133" s="373" t="s">
        <v>214</v>
      </c>
      <c r="F133" s="374">
        <f>SUMIFS($L$11:$L$30,$C$11:$C$30,$B132,$T$11:$T$30,$E133)</f>
        <v>0</v>
      </c>
      <c r="G133" s="374">
        <f>SUMIFS($L$40:$L$59,$C$40:$C$59,$B132,$T$40:$T$59,$E133)+SUMIFS($L$68:$L$87,$C$68:$C$87,B132,$AG$68:$AG$87,E133)+SUMIFS($AE$11:$AE$31,$C$11:$C$31,B132,$T$11:$T$31,E133)</f>
        <v>0</v>
      </c>
      <c r="H133" s="374">
        <f>G133-F133</f>
        <v>0</v>
      </c>
      <c r="I133" s="375" t="str">
        <f>IF(F133=0,"N/A",IF(H133&lt;0,"No ▲","Yes ✓"))</f>
        <v>N/A</v>
      </c>
      <c r="J133" s="157">
        <f>IF(I133="No ▲",1,0)</f>
        <v>0</v>
      </c>
      <c r="R133" s="655"/>
    </row>
    <row r="134" spans="2:18" s="25" customFormat="1" ht="15.6" customHeight="1">
      <c r="B134" s="794" t="s">
        <v>103</v>
      </c>
      <c r="C134" s="795"/>
      <c r="D134" s="796"/>
      <c r="E134" s="121" t="s">
        <v>212</v>
      </c>
      <c r="F134" s="122">
        <f>SUMIFS($L$11:$L$31,$C$11:$C$31,$B134,$T$11:$T$31,$E134)</f>
        <v>0</v>
      </c>
      <c r="G134" s="122">
        <f>SUMIFS($L$40:$L$60,$C$40:$C$60,$B134,$T$40:$T$60,$E134)+SUMIFS($L$68:$L$88,$C$68:$C$88,B134,$AG$68:$AG$88,E134)+SUMIFS($AE$11:$AE$31,$C$11:$C$31,B134,$T$11:$T$31,E134)</f>
        <v>0</v>
      </c>
      <c r="H134" s="122">
        <f>G134-F134</f>
        <v>0</v>
      </c>
      <c r="I134" s="123" t="s">
        <v>213</v>
      </c>
      <c r="J134" s="157"/>
      <c r="R134" s="655"/>
    </row>
    <row r="135" spans="2:18" s="25" customFormat="1" ht="23.1" customHeight="1">
      <c r="B135" s="811"/>
      <c r="C135" s="812"/>
      <c r="D135" s="813"/>
      <c r="E135" s="213" t="s">
        <v>214</v>
      </c>
      <c r="F135" s="214">
        <f>SUMIFS($L$11:$L$31,$C$11:$C$31,$B134,$T$11:$T$31,$E135)</f>
        <v>0</v>
      </c>
      <c r="G135" s="214">
        <f>SUMIFS($L$40:$L$60,$C$40:$C$60,$B134,$T$40:$T$60,$E135)+SUMIFS($L$68:$L$88,$C$68:$C$88,B134,$AG$68:$AG$88,E135)+SUMIFS($AE$11:$AE$31,$C$11:$C$31,B134,$T$11:$T$31,E135)</f>
        <v>0</v>
      </c>
      <c r="H135" s="214">
        <f>G135-F135</f>
        <v>0</v>
      </c>
      <c r="I135" s="500" t="str">
        <f>IF(F135=0,"N/A",IF(H135&lt;0,"No ▲","Yes ✓"))</f>
        <v>N/A</v>
      </c>
      <c r="J135" s="157">
        <f t="shared" ref="J135:J140" si="55">IF(I135="No ▲",1,0)</f>
        <v>0</v>
      </c>
      <c r="R135" s="655"/>
    </row>
    <row r="136" spans="2:18" s="25" customFormat="1" ht="15.6" customHeight="1">
      <c r="J136" s="157"/>
      <c r="M136" s="26"/>
      <c r="R136" s="655"/>
    </row>
    <row r="137" spans="2:18" s="25" customFormat="1" ht="37.5">
      <c r="B137" s="740" t="s">
        <v>206</v>
      </c>
      <c r="C137" s="741"/>
      <c r="D137" s="741"/>
      <c r="E137" s="742"/>
      <c r="F137" s="126" t="s">
        <v>207</v>
      </c>
      <c r="G137" s="126" t="s">
        <v>208</v>
      </c>
      <c r="H137" s="126" t="s">
        <v>209</v>
      </c>
      <c r="I137" s="127" t="s">
        <v>210</v>
      </c>
      <c r="J137" s="157"/>
      <c r="M137" s="26"/>
      <c r="R137" s="655"/>
    </row>
    <row r="138" spans="2:18" s="25" customFormat="1" ht="30.6" customHeight="1">
      <c r="B138" s="803" t="s">
        <v>224</v>
      </c>
      <c r="C138" s="804"/>
      <c r="D138" s="804"/>
      <c r="E138" s="805"/>
      <c r="F138" s="122">
        <f>SUMIFS($L$11:$L$31,$T$11:$T$31,"Medium")</f>
        <v>0</v>
      </c>
      <c r="G138" s="156">
        <f>IF(L61+L89+P1=0,0,SUMIFS($L$40:$L$60,$T$40:$T$60,"Medium")+SUMIFS($L$68:$L$87,$AG$68:$AG$87,"Medium")+SUMIFS($AE$11:$AE$31,$T$11:$T$31,"Medium"))</f>
        <v>3.8064391332</v>
      </c>
      <c r="H138" s="122">
        <f>IFERROR(G138-F138,"")</f>
        <v>3.8064391332</v>
      </c>
      <c r="I138" s="327" t="str">
        <f>IF(G138="","",IF(H138&gt;=0,"Yes ✓","No ▲"))</f>
        <v>Yes ✓</v>
      </c>
      <c r="J138" s="157">
        <f t="shared" si="55"/>
        <v>0</v>
      </c>
      <c r="R138" s="655" t="s">
        <v>65</v>
      </c>
    </row>
    <row r="139" spans="2:18" s="25" customFormat="1" ht="30.6" customHeight="1">
      <c r="B139" s="803" t="s">
        <v>225</v>
      </c>
      <c r="C139" s="804"/>
      <c r="D139" s="804"/>
      <c r="E139" s="805"/>
      <c r="F139" s="122">
        <f>SUMIFS($L$11:$L$31,$T$11:$T$31,"Low")</f>
        <v>2.5464519999999999</v>
      </c>
      <c r="G139" s="156">
        <f>IF(L61+L89+P1=0,0,SUMIFS($L$40:$L$60,$T$40:$T$60,"Low")+SUMIFS($L$68:$L$88,$AG$68:$AG$88,"Low")+SUMIFS($AE$11:$AE$31,$T$11:$T$31,"Low"))</f>
        <v>0</v>
      </c>
      <c r="H139" s="122">
        <f>IFERROR(G139-F139,"")</f>
        <v>-2.5464519999999999</v>
      </c>
      <c r="I139" s="327" t="str">
        <f>IF($I$142&gt;=0,"Yes ✓","No ▲")</f>
        <v>Yes ✓</v>
      </c>
      <c r="J139" s="157">
        <f t="shared" si="55"/>
        <v>0</v>
      </c>
      <c r="R139" s="655"/>
    </row>
    <row r="140" spans="2:18" s="25" customFormat="1" ht="41.25" customHeight="1">
      <c r="B140" s="806" t="s">
        <v>226</v>
      </c>
      <c r="C140" s="807"/>
      <c r="D140" s="807"/>
      <c r="E140" s="808"/>
      <c r="F140" s="800">
        <f>IFERROR(H138+H139,"")</f>
        <v>1.2599871332000001</v>
      </c>
      <c r="G140" s="801"/>
      <c r="H140" s="802"/>
      <c r="I140" s="328" t="str">
        <f>IF(F140="","",IF(F140&gt;=0,"Yes ✓","No ▲"))</f>
        <v>Yes ✓</v>
      </c>
      <c r="J140" s="157">
        <f t="shared" si="55"/>
        <v>0</v>
      </c>
      <c r="R140" s="655"/>
    </row>
    <row r="141" spans="2:18" s="25" customFormat="1">
      <c r="R141" s="655"/>
    </row>
    <row r="142" spans="2:18" s="25" customFormat="1">
      <c r="I142" s="432">
        <f>IF($H$138&gt;0,($H$139+$H$138),$H$139)</f>
        <v>1.2599871332000001</v>
      </c>
      <c r="R142" s="655"/>
    </row>
    <row r="143" spans="2:18" s="25" customFormat="1">
      <c r="R143" s="655"/>
    </row>
    <row r="144" spans="2:18" s="25" customFormat="1">
      <c r="R144" s="655"/>
    </row>
    <row r="145" spans="18:18" s="25" customFormat="1">
      <c r="R145" s="655"/>
    </row>
    <row r="146" spans="18:18" s="25" customFormat="1">
      <c r="R146" s="655"/>
    </row>
    <row r="147" spans="18:18" s="25" customFormat="1">
      <c r="R147" s="655"/>
    </row>
    <row r="148" spans="18:18" s="25" customFormat="1">
      <c r="R148" s="655"/>
    </row>
    <row r="149" spans="18:18" s="25" customFormat="1">
      <c r="R149" s="655"/>
    </row>
    <row r="150" spans="18:18" s="25" customFormat="1">
      <c r="R150" s="655"/>
    </row>
    <row r="151" spans="18:18" s="25" customFormat="1">
      <c r="R151" s="655"/>
    </row>
    <row r="152" spans="18:18" s="25" customFormat="1">
      <c r="R152" s="655"/>
    </row>
    <row r="153" spans="18:18" s="25" customFormat="1">
      <c r="R153" s="655"/>
    </row>
    <row r="154" spans="18:18" s="25" customFormat="1">
      <c r="R154" s="655"/>
    </row>
    <row r="155" spans="18:18" s="25" customFormat="1">
      <c r="R155" s="655"/>
    </row>
    <row r="156" spans="18:18" s="25" customFormat="1">
      <c r="R156" s="655"/>
    </row>
    <row r="157" spans="18:18" s="25" customFormat="1">
      <c r="R157" s="655"/>
    </row>
    <row r="158" spans="18:18" s="25" customFormat="1">
      <c r="R158" s="655"/>
    </row>
    <row r="159" spans="18:18" s="25" customFormat="1">
      <c r="R159" s="655"/>
    </row>
    <row r="160" spans="18:18" s="25" customFormat="1">
      <c r="R160" s="655"/>
    </row>
    <row r="161" spans="18:18" s="25" customFormat="1">
      <c r="R161" s="655"/>
    </row>
    <row r="162" spans="18:18" s="25" customFormat="1">
      <c r="R162" s="655"/>
    </row>
    <row r="163" spans="18:18" s="25" customFormat="1">
      <c r="R163" s="655"/>
    </row>
    <row r="164" spans="18:18" s="25" customFormat="1">
      <c r="R164" s="655"/>
    </row>
    <row r="165" spans="18:18" s="25" customFormat="1">
      <c r="R165" s="655"/>
    </row>
    <row r="166" spans="18:18" s="25" customFormat="1">
      <c r="R166" s="655"/>
    </row>
    <row r="167" spans="18:18" s="25" customFormat="1">
      <c r="R167" s="655"/>
    </row>
    <row r="168" spans="18:18" s="25" customFormat="1">
      <c r="R168" s="655"/>
    </row>
    <row r="169" spans="18:18" s="25" customFormat="1">
      <c r="R169" s="655"/>
    </row>
  </sheetData>
  <mergeCells count="332">
    <mergeCell ref="E98:F98"/>
    <mergeCell ref="I98:K98"/>
    <mergeCell ref="L98:N98"/>
    <mergeCell ref="O94:P94"/>
    <mergeCell ref="G93:H94"/>
    <mergeCell ref="G95:H95"/>
    <mergeCell ref="G96:H96"/>
    <mergeCell ref="G97:H97"/>
    <mergeCell ref="G98:H98"/>
    <mergeCell ref="M68:N68"/>
    <mergeCell ref="L66:L67"/>
    <mergeCell ref="M66:N67"/>
    <mergeCell ref="M80:N80"/>
    <mergeCell ref="M79:N79"/>
    <mergeCell ref="M78:N78"/>
    <mergeCell ref="M77:N77"/>
    <mergeCell ref="M76:N76"/>
    <mergeCell ref="M75:N75"/>
    <mergeCell ref="M74:N74"/>
    <mergeCell ref="M72:N72"/>
    <mergeCell ref="AE9:AG9"/>
    <mergeCell ref="AI9:AI10"/>
    <mergeCell ref="AH9:AH10"/>
    <mergeCell ref="D15:E15"/>
    <mergeCell ref="D14:E14"/>
    <mergeCell ref="D13:E13"/>
    <mergeCell ref="D12:E12"/>
    <mergeCell ref="D11:E11"/>
    <mergeCell ref="D20:E20"/>
    <mergeCell ref="D19:E19"/>
    <mergeCell ref="D18:E18"/>
    <mergeCell ref="C9:E9"/>
    <mergeCell ref="C66:D66"/>
    <mergeCell ref="D26:E26"/>
    <mergeCell ref="D25:E25"/>
    <mergeCell ref="D24:E24"/>
    <mergeCell ref="D23:E2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D29:E29"/>
    <mergeCell ref="F47:G47"/>
    <mergeCell ref="F46:G46"/>
    <mergeCell ref="F45:G45"/>
    <mergeCell ref="F44:G44"/>
    <mergeCell ref="F43:G43"/>
    <mergeCell ref="I45:K45"/>
    <mergeCell ref="B9:B10"/>
    <mergeCell ref="F22:H22"/>
    <mergeCell ref="F21:H21"/>
    <mergeCell ref="F20:H20"/>
    <mergeCell ref="F19:H19"/>
    <mergeCell ref="F18:H18"/>
    <mergeCell ref="D10:E10"/>
    <mergeCell ref="D17:E17"/>
    <mergeCell ref="D16:E16"/>
    <mergeCell ref="D22:E22"/>
    <mergeCell ref="D21:E21"/>
    <mergeCell ref="F42:G42"/>
    <mergeCell ref="F41:G41"/>
    <mergeCell ref="F40:G40"/>
    <mergeCell ref="F39:G39"/>
    <mergeCell ref="B132:D133"/>
    <mergeCell ref="B137:E137"/>
    <mergeCell ref="B134:D135"/>
    <mergeCell ref="I56:K56"/>
    <mergeCell ref="I55:K55"/>
    <mergeCell ref="I66:I67"/>
    <mergeCell ref="J66:K67"/>
    <mergeCell ref="I61:K61"/>
    <mergeCell ref="J88:K88"/>
    <mergeCell ref="B93:C94"/>
    <mergeCell ref="D93:D94"/>
    <mergeCell ref="E93:F94"/>
    <mergeCell ref="I93:P93"/>
    <mergeCell ref="I94:K94"/>
    <mergeCell ref="L94:N94"/>
    <mergeCell ref="B98:C98"/>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F31:H31"/>
    <mergeCell ref="F9:H10"/>
    <mergeCell ref="H38:H39"/>
    <mergeCell ref="J2:M5"/>
    <mergeCell ref="T10:U10"/>
    <mergeCell ref="T11:U11"/>
    <mergeCell ref="T12:U12"/>
    <mergeCell ref="T13:U13"/>
    <mergeCell ref="T14:U14"/>
    <mergeCell ref="I33:N33"/>
    <mergeCell ref="I34:N34"/>
    <mergeCell ref="F27:H27"/>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L45:N45"/>
    <mergeCell ref="L51:N51"/>
    <mergeCell ref="L50:N50"/>
    <mergeCell ref="I35:N35"/>
    <mergeCell ref="W9:X9"/>
    <mergeCell ref="L40:N40"/>
    <mergeCell ref="L43:N43"/>
    <mergeCell ref="I51:K51"/>
    <mergeCell ref="I43:K43"/>
    <mergeCell ref="I42:K42"/>
    <mergeCell ref="I41:K41"/>
    <mergeCell ref="I40:K40"/>
    <mergeCell ref="I44:K44"/>
    <mergeCell ref="I48:K48"/>
    <mergeCell ref="I47:K47"/>
    <mergeCell ref="I46:K46"/>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E109:I109"/>
    <mergeCell ref="E108:I108"/>
    <mergeCell ref="A102:Q104"/>
    <mergeCell ref="L46:N46"/>
    <mergeCell ref="L47:N47"/>
    <mergeCell ref="L48:N48"/>
    <mergeCell ref="O66:P66"/>
    <mergeCell ref="I52:K52"/>
    <mergeCell ref="L61:N61"/>
    <mergeCell ref="I54:K54"/>
    <mergeCell ref="L52:N52"/>
    <mergeCell ref="F52:G52"/>
    <mergeCell ref="F51:G51"/>
    <mergeCell ref="F50:G50"/>
    <mergeCell ref="F49:G49"/>
    <mergeCell ref="F48:G48"/>
    <mergeCell ref="J68:K68"/>
    <mergeCell ref="F70:G70"/>
    <mergeCell ref="F69:G69"/>
    <mergeCell ref="F68:G68"/>
    <mergeCell ref="F67:G67"/>
    <mergeCell ref="H66:H67"/>
    <mergeCell ref="E66:G66"/>
    <mergeCell ref="F59:G59"/>
    <mergeCell ref="F58:G58"/>
    <mergeCell ref="L53:N53"/>
    <mergeCell ref="L54:N54"/>
    <mergeCell ref="L55:N55"/>
    <mergeCell ref="L56:N56"/>
    <mergeCell ref="I53:K53"/>
    <mergeCell ref="F57:G57"/>
    <mergeCell ref="F56:G56"/>
    <mergeCell ref="F55:G55"/>
    <mergeCell ref="F54:G54"/>
    <mergeCell ref="F53:G53"/>
    <mergeCell ref="I58:K58"/>
    <mergeCell ref="J78:K78"/>
    <mergeCell ref="L99:N99"/>
    <mergeCell ref="L97:N97"/>
    <mergeCell ref="L96:N96"/>
    <mergeCell ref="L95:N95"/>
    <mergeCell ref="I99:K99"/>
    <mergeCell ref="J80:K80"/>
    <mergeCell ref="J81:K81"/>
    <mergeCell ref="M84:N84"/>
    <mergeCell ref="M83:N83"/>
    <mergeCell ref="M89:N89"/>
    <mergeCell ref="E97:F97"/>
    <mergeCell ref="E96:F96"/>
    <mergeCell ref="E95:F95"/>
    <mergeCell ref="F83:G83"/>
    <mergeCell ref="J87:K87"/>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T29:U29"/>
    <mergeCell ref="T30:U30"/>
    <mergeCell ref="T31:U31"/>
    <mergeCell ref="T9:V9"/>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J77:K77"/>
    <mergeCell ref="T39:U39"/>
    <mergeCell ref="T38:V38"/>
    <mergeCell ref="T40:U40"/>
    <mergeCell ref="T41:U41"/>
    <mergeCell ref="T42:U42"/>
    <mergeCell ref="T43:U43"/>
    <mergeCell ref="T44:U44"/>
    <mergeCell ref="T45:U45"/>
    <mergeCell ref="T46:U46"/>
    <mergeCell ref="J72:K72"/>
    <mergeCell ref="J76:K76"/>
    <mergeCell ref="L60:N60"/>
    <mergeCell ref="I62:N62"/>
    <mergeCell ref="J73:K73"/>
    <mergeCell ref="J69:K69"/>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T47:U47"/>
    <mergeCell ref="T48:U48"/>
    <mergeCell ref="T49:U49"/>
    <mergeCell ref="T50:U50"/>
    <mergeCell ref="T51:U51"/>
    <mergeCell ref="AR66:AX66"/>
    <mergeCell ref="T56:U56"/>
    <mergeCell ref="T57:U57"/>
    <mergeCell ref="T58:U58"/>
    <mergeCell ref="T59:U59"/>
    <mergeCell ref="T60:U60"/>
    <mergeCell ref="T66:AD66"/>
    <mergeCell ref="AE66:AE67"/>
    <mergeCell ref="AQ66:AQ67"/>
    <mergeCell ref="AF66:AP66"/>
    <mergeCell ref="R65:R109"/>
    <mergeCell ref="G99:H99"/>
    <mergeCell ref="O95:P95"/>
    <mergeCell ref="O96:P96"/>
    <mergeCell ref="O97:P97"/>
    <mergeCell ref="O98:P98"/>
    <mergeCell ref="O99:P99"/>
    <mergeCell ref="F82:G82"/>
    <mergeCell ref="F81:G81"/>
    <mergeCell ref="F80:G80"/>
    <mergeCell ref="F88:G88"/>
    <mergeCell ref="F87:G87"/>
    <mergeCell ref="F86:G86"/>
    <mergeCell ref="F85:G85"/>
    <mergeCell ref="F84:G84"/>
    <mergeCell ref="J79:K79"/>
  </mergeCells>
  <conditionalFormatting sqref="E68:E88">
    <cfRule type="cellIs" dxfId="180" priority="22" operator="equal">
      <formula>"Enhancement not possible"</formula>
    </cfRule>
  </conditionalFormatting>
  <conditionalFormatting sqref="E95:F98">
    <cfRule type="cellIs" dxfId="177" priority="3" operator="greaterThan">
      <formula>$D95</formula>
    </cfRule>
  </conditionalFormatting>
  <conditionalFormatting sqref="F40:F59">
    <cfRule type="containsBlanks" dxfId="175" priority="37">
      <formula>LEN(TRIM(F40))=0</formula>
    </cfRule>
    <cfRule type="expression" dxfId="174" priority="38">
      <formula>ISNUMBER(SEARCH(F40,E40,1))</formula>
    </cfRule>
  </conditionalFormatting>
  <conditionalFormatting sqref="F68:G87">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K11:K30">
    <cfRule type="expression" dxfId="157" priority="50">
      <formula>$AI11="Enhancement not possible"</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N11:N30">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05" operator="containsText" id="{00000000-000E-0000-0400-000069000000}">
            <xm:f>NOT(ISERROR(SEARCH("Error - Trading Rules Not Satisfied",E108)))</xm:f>
            <x14:dxf>
              <font>
                <color theme="0"/>
              </font>
              <fill>
                <patternFill>
                  <bgColor rgb="FFC00000"/>
                </patternFill>
              </fill>
            </x14:dxf>
          </x14:cfRule>
          <x14:cfRule type="containsText" priority="104" operator="containsText" id="{00000000-000E-0000-0400-000068000000}">
            <xm:f>NOT(ISERROR(SEARCH("Trading Rules Satisfied",E108)))</xm:f>
            <x14:dxf>
              <font>
                <color theme="1"/>
              </font>
              <fill>
                <patternFill>
                  <bgColor theme="9" tint="0.39994506668294322"/>
                </patternFill>
              </fill>
            </x14:dxf>
          </x14:cfRule>
          <xm:sqref>E108:E109</xm:sqref>
        </x14:conditionalFormatting>
        <x14:conditionalFormatting xmlns:xm="http://schemas.microsoft.com/office/excel/2006/main">
          <x14:cfRule type="containsText" priority="11" operator="containsText" id="{00000000-000E-0000-0400-00000B000000}">
            <xm:f>NOT(ISERROR(SEARCH("Error",E100)))</xm:f>
            <x14:dxf>
              <font>
                <color theme="0"/>
              </font>
              <fill>
                <patternFill>
                  <bgColor rgb="FFC00000"/>
                </patternFill>
              </fill>
              <border>
                <left style="thin">
                  <color auto="1"/>
                </left>
                <right style="thin">
                  <color auto="1"/>
                </right>
                <top style="thin">
                  <color auto="1"/>
                </top>
                <bottom style="thin">
                  <color auto="1"/>
                </bottom>
              </border>
            </x14:dxf>
          </x14:cfRule>
          <xm:sqref>E100:G100</xm:sqref>
        </x14:conditionalFormatting>
        <x14:conditionalFormatting xmlns:xm="http://schemas.microsoft.com/office/excel/2006/main">
          <x14:cfRule type="containsText" priority="4" operator="containsText" id="{00000000-000E-0000-0400-000004000000}">
            <xm:f>NOT(ISERROR(SEARCH("not possible",F68)))</xm:f>
            <x14:dxf>
              <font>
                <color theme="0"/>
              </font>
              <fill>
                <patternFill>
                  <bgColor rgb="FFC00000"/>
                </patternFill>
              </fill>
            </x14:dxf>
          </x14:cfRule>
          <xm:sqref>F68:G87</xm:sqref>
        </x14:conditionalFormatting>
        <x14:conditionalFormatting xmlns:xm="http://schemas.microsoft.com/office/excel/2006/main">
          <x14:cfRule type="containsText" priority="8" operator="containsText" id="{00000000-000E-0000-0400-000008000000}">
            <xm:f>NOT(ISERROR(SEARCH("Yes",I114)))</xm:f>
            <x14:dxf>
              <font>
                <color theme="1"/>
              </font>
              <fill>
                <patternFill>
                  <bgColor theme="9" tint="0.39994506668294322"/>
                </patternFill>
              </fill>
            </x14:dxf>
          </x14:cfRule>
          <x14:cfRule type="containsText" priority="9" operator="containsText" id="{00000000-000E-0000-0400-000009000000}">
            <xm:f>NOT(ISERROR(SEARCH("No",I114)))</xm:f>
            <x14:dxf>
              <font>
                <color theme="0"/>
              </font>
              <fill>
                <patternFill>
                  <bgColor rgb="FFC00000"/>
                </patternFill>
              </fill>
            </x14:dxf>
          </x14:cfRule>
          <xm:sqref>I114:I135</xm:sqref>
        </x14:conditionalFormatting>
        <x14:conditionalFormatting xmlns:xm="http://schemas.microsoft.com/office/excel/2006/main">
          <x14:cfRule type="containsText" priority="103" operator="containsText" id="{00000000-000E-0000-0400-000067000000}">
            <xm:f>NOT(ISERROR(SEARCH("No",I138)))</xm:f>
            <x14:dxf>
              <font>
                <color theme="0"/>
              </font>
              <fill>
                <patternFill>
                  <bgColor rgb="FFC00000"/>
                </patternFill>
              </fill>
            </x14:dxf>
          </x14:cfRule>
          <x14:cfRule type="containsText" priority="102" operator="containsText" id="{00000000-000E-0000-0400-000066000000}">
            <xm:f>NOT(ISERROR(SEARCH("Yes",I138)))</xm:f>
            <x14:dxf>
              <font>
                <color theme="1"/>
              </font>
              <fill>
                <patternFill>
                  <bgColor theme="9" tint="0.39994506668294322"/>
                </patternFill>
              </fill>
            </x14:dxf>
          </x14:cfRule>
          <xm:sqref>I138:I140</xm:sqref>
        </x14:conditionalFormatting>
        <x14:conditionalFormatting xmlns:xm="http://schemas.microsoft.com/office/excel/2006/main">
          <x14:cfRule type="containsText" priority="43" operator="containsText" id="{00000000-000E-0000-0400-00002B000000}">
            <xm:f>NOT(ISERROR(SEARCH("error",I33)))</xm:f>
            <x14:dxf>
              <font>
                <color theme="0"/>
              </font>
              <fill>
                <patternFill>
                  <bgColor rgb="FFC00000"/>
                </patternFill>
              </fill>
            </x14:dxf>
          </x14:cfRule>
          <x14:cfRule type="containsText" priority="44" operator="containsText" id="{00000000-000E-0000-0400-00002C000000}">
            <xm:f>NOT(ISERROR(SEARCH("acceptable",I33)))</xm:f>
            <x14:dxf>
              <font>
                <color auto="1"/>
              </font>
              <fill>
                <patternFill>
                  <bgColor theme="9" tint="0.39994506668294322"/>
                </patternFill>
              </fill>
            </x14:dxf>
          </x14:cfRule>
          <xm:sqref>I33:N35</xm:sqref>
        </x14:conditionalFormatting>
        <x14:conditionalFormatting xmlns:xm="http://schemas.microsoft.com/office/excel/2006/main">
          <x14:cfRule type="containsText" priority="41" operator="containsText" id="{00000000-000E-0000-0400-000029000000}">
            <xm:f>NOT(ISERROR(SEARCH("error",I62)))</xm:f>
            <x14:dxf>
              <font>
                <color theme="0"/>
              </font>
              <fill>
                <patternFill>
                  <bgColor rgb="FFC00000"/>
                </patternFill>
              </fill>
            </x14:dxf>
          </x14:cfRule>
          <x14:cfRule type="containsText" priority="42" operator="containsText" id="{00000000-000E-0000-0400-00002A000000}">
            <xm:f>NOT(ISERROR(SEARCH("acceptable",I62)))</xm:f>
            <x14:dxf>
              <font>
                <color auto="1"/>
              </font>
              <fill>
                <patternFill>
                  <bgColor theme="9" tint="0.39994506668294322"/>
                </patternFill>
              </fill>
            </x14:dxf>
          </x14:cfRule>
          <xm:sqref>I62:N62</xm:sqref>
        </x14:conditionalFormatting>
        <x14:conditionalFormatting xmlns:xm="http://schemas.microsoft.com/office/excel/2006/main">
          <x14:cfRule type="containsText" priority="40" operator="containsText" id="{00000000-000E-0000-0400-000028000000}">
            <xm:f>NOT(ISERROR(SEARCH("Errors Present On Sheet",J2)))</xm:f>
            <x14:dxf>
              <font>
                <color theme="0"/>
              </font>
              <fill>
                <patternFill>
                  <bgColor rgb="FFC00000"/>
                </patternFill>
              </fill>
              <border>
                <left style="thin">
                  <color rgb="FFFF0000"/>
                </left>
                <right style="thin">
                  <color rgb="FFFF0000"/>
                </right>
                <top style="thin">
                  <color rgb="FFFF0000"/>
                </top>
                <bottom style="thin">
                  <color rgb="FFFF0000"/>
                </bottom>
              </border>
            </x14:dxf>
          </x14:cfRule>
          <xm:sqref>J2 O6:P6</xm:sqref>
        </x14:conditionalFormatting>
        <x14:conditionalFormatting xmlns:xm="http://schemas.microsoft.com/office/excel/2006/main">
          <x14:cfRule type="containsText" priority="12" operator="containsText" id="{00000000-000E-0000-0400-00000C000000}">
            <xm:f>NOT(ISERROR(SEARCH("Technical",J2)))</xm:f>
            <x14:dxf>
              <font>
                <color theme="0"/>
              </font>
              <fill>
                <patternFill>
                  <bgColor rgb="FFC00000"/>
                </patternFill>
              </fill>
            </x14:dxf>
          </x14:cfRule>
          <xm:sqref>J2</xm:sqref>
        </x14:conditionalFormatting>
        <x14:conditionalFormatting xmlns:xm="http://schemas.microsoft.com/office/excel/2006/main">
          <x14:cfRule type="containsText" priority="5" operator="containsText" id="{00000000-000E-0000-0400-000005000000}">
            <xm:f>NOT(ISERROR(SEARCH("Error ▲",J68)))</xm:f>
            <x14:dxf>
              <font>
                <color theme="0"/>
              </font>
              <fill>
                <patternFill>
                  <bgColor rgb="FFC00000"/>
                </patternFill>
              </fill>
            </x14:dxf>
          </x14:cfRule>
          <xm:sqref>J68:K87</xm:sqref>
        </x14:conditionalFormatting>
        <x14:conditionalFormatting xmlns:xm="http://schemas.microsoft.com/office/excel/2006/main">
          <x14:cfRule type="containsText" priority="19" operator="containsText" id="{00000000-000E-0000-0400-000013000000}">
            <xm:f>NOT(ISERROR(SEARCH("value",L11)))</xm:f>
            <x14:dxf>
              <font>
                <color theme="0"/>
              </font>
              <fill>
                <patternFill>
                  <bgColor rgb="FFC00000"/>
                </patternFill>
              </fill>
            </x14:dxf>
          </x14:cfRule>
          <x14:cfRule type="containsText" priority="13" operator="containsText" id="{00000000-000E-0000-0400-00000D000000}">
            <xm:f>NOT(ISERROR(SEARCH("▲",L11)))</xm:f>
            <x14:dxf>
              <font>
                <color theme="0"/>
              </font>
              <fill>
                <patternFill>
                  <bgColor rgb="FFC00000"/>
                </patternFill>
              </fill>
            </x14:dxf>
          </x14:cfRule>
          <xm:sqref>L11:L30</xm:sqref>
        </x14:conditionalFormatting>
        <x14:conditionalFormatting xmlns:xm="http://schemas.microsoft.com/office/excel/2006/main">
          <x14:cfRule type="containsText" priority="14" operator="containsText" id="{00000000-000E-0000-0400-00000E000000}">
            <xm:f>NOT(ISERROR(SEARCH("▲",L68)))</xm:f>
            <x14:dxf>
              <font>
                <color theme="0"/>
              </font>
              <fill>
                <patternFill>
                  <bgColor rgb="FFC00000"/>
                </patternFill>
              </fill>
            </x14:dxf>
          </x14:cfRule>
          <xm:sqref>L68:L88</xm:sqref>
        </x14:conditionalFormatting>
        <x14:conditionalFormatting xmlns:xm="http://schemas.microsoft.com/office/excel/2006/main">
          <x14:cfRule type="containsText" priority="16" operator="containsText" id="{00000000-000E-0000-0400-000010000000}">
            <xm:f>NOT(ISERROR(SEARCH("value",L40)))</xm:f>
            <x14:dxf>
              <font>
                <color theme="0"/>
              </font>
              <fill>
                <patternFill>
                  <bgColor rgb="FFC00000"/>
                </patternFill>
              </fill>
            </x14:dxf>
          </x14:cfRule>
          <x14:cfRule type="containsText" priority="15" operator="containsText" id="{00000000-000E-0000-0400-00000F000000}">
            <xm:f>NOT(ISERROR(SEARCH("▲",L40)))</xm:f>
            <x14:dxf>
              <font>
                <color theme="0"/>
              </font>
              <fill>
                <patternFill>
                  <bgColor rgb="FFC00000"/>
                </patternFill>
              </fill>
            </x14:dxf>
          </x14:cfRule>
          <xm:sqref>L40:N59</xm:sqref>
        </x14:conditionalFormatting>
        <x14:conditionalFormatting xmlns:xm="http://schemas.microsoft.com/office/excel/2006/main">
          <x14:cfRule type="containsText" priority="1" operator="containsText" id="{00000000-000E-0000-0400-000001000000}">
            <xm:f>NOT(ISERROR(SEARCH("Error",L95)))</xm:f>
            <x14:dxf>
              <font>
                <color theme="0"/>
              </font>
              <fill>
                <patternFill>
                  <bgColor rgb="FFC00000"/>
                </patternFill>
              </fill>
            </x14:dxf>
          </x14:cfRule>
          <xm:sqref>L95:N98</xm:sqref>
        </x14:conditionalFormatting>
        <x14:conditionalFormatting xmlns:xm="http://schemas.microsoft.com/office/excel/2006/main">
          <x14:cfRule type="containsText" priority="20" operator="containsText" id="{00000000-000E-0000-0400-000014000000}">
            <xm:f>NOT(ISERROR(SEARCH("error",M11)))</xm:f>
            <x14:dxf>
              <font>
                <color theme="0"/>
              </font>
              <fill>
                <patternFill>
                  <bgColor rgb="FFC00000"/>
                </patternFill>
              </fill>
            </x14:dxf>
          </x14:cfRule>
          <xm:sqref>M11:N30</xm:sqref>
        </x14:conditionalFormatting>
        <x14:conditionalFormatting xmlns:xm="http://schemas.microsoft.com/office/excel/2006/main">
          <x14:cfRule type="containsText" priority="6" operator="containsText" id="{00000000-000E-0000-0400-000006000000}">
            <xm:f>NOT(ISERROR(SEARCH("Error ▲",M68)))</xm:f>
            <x14:dxf>
              <font>
                <color theme="0"/>
              </font>
              <fill>
                <patternFill>
                  <bgColor rgb="FFC00000"/>
                </patternFill>
              </fill>
            </x14:dxf>
          </x14:cfRule>
          <xm:sqref>M68:N87</xm:sqref>
        </x14:conditionalFormatting>
        <x14:conditionalFormatting xmlns:xm="http://schemas.microsoft.com/office/excel/2006/main">
          <x14:cfRule type="containsText" priority="17" operator="containsText" id="{00000000-000E-0000-0400-000011000000}">
            <xm:f>NOT(ISERROR(SEARCH("▲",N11)))</xm:f>
            <x14:dxf>
              <font>
                <color theme="0"/>
              </font>
              <fill>
                <patternFill>
                  <bgColor rgb="FFC00000"/>
                </patternFill>
              </fill>
            </x14:dxf>
          </x14:cfRule>
          <xm:sqref>N11:N30</xm:sqref>
        </x14:conditionalFormatting>
        <x14:conditionalFormatting xmlns:xm="http://schemas.microsoft.com/office/excel/2006/main">
          <x14:cfRule type="containsText" priority="7" operator="containsText" id="{00000000-000E-0000-0400-000007000000}">
            <xm:f>NOT(ISERROR(SEARCH("Error ▲",P1)))</xm:f>
            <x14:dxf>
              <font>
                <color theme="0"/>
              </font>
              <fill>
                <patternFill>
                  <bgColor rgb="FFC00000"/>
                </patternFill>
              </fill>
            </x14:dxf>
          </x14:cfRule>
          <xm:sqref>P1:P5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3300"/>
  </sheetPr>
  <dimension ref="A1:CB127"/>
  <sheetViews>
    <sheetView workbookViewId="0"/>
  </sheetViews>
  <sheetFormatPr defaultColWidth="0" defaultRowHeight="15"/>
  <cols>
    <col min="1" max="1" width="4.5703125" customWidth="1"/>
    <col min="2" max="2" width="14.85546875" customWidth="1"/>
    <col min="3" max="3" width="24.42578125" customWidth="1"/>
    <col min="4" max="4" width="40.28515625" customWidth="1"/>
    <col min="5" max="5" width="27" customWidth="1"/>
    <col min="6" max="6" width="18.5703125" customWidth="1"/>
    <col min="7" max="7" width="39.85546875" customWidth="1"/>
    <col min="8" max="8" width="49.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85546875" customWidth="1"/>
    <col min="21" max="21" width="14.85546875" customWidth="1"/>
    <col min="22" max="22" width="20.7109375" customWidth="1"/>
    <col min="23" max="23" width="23.85546875" customWidth="1"/>
    <col min="24" max="24" width="16.85546875" customWidth="1"/>
    <col min="25" max="25" width="14" hidden="1" customWidth="1"/>
    <col min="26" max="26" width="22" hidden="1" customWidth="1"/>
    <col min="27" max="27" width="14" hidden="1" customWidth="1"/>
    <col min="28" max="28" width="33.7109375" customWidth="1"/>
    <col min="29" max="30" width="32.85546875" customWidth="1"/>
    <col min="31" max="31" width="18.85546875" customWidth="1"/>
    <col min="32" max="32" width="23.85546875" customWidth="1"/>
    <col min="33" max="33" width="16.85546875" customWidth="1"/>
    <col min="34" max="34" width="65.7109375" customWidth="1"/>
    <col min="35" max="35" width="207" customWidth="1"/>
    <col min="36" max="36" width="23.5703125" customWidth="1"/>
    <col min="37" max="37" width="23.5703125" hidden="1" customWidth="1"/>
    <col min="38" max="38" width="16.85546875" hidden="1" customWidth="1"/>
    <col min="39" max="39" width="13.140625" hidden="1" customWidth="1"/>
    <col min="40" max="40" width="12.28515625" customWidth="1"/>
    <col min="41" max="41" width="34.140625" customWidth="1"/>
    <col min="42" max="42" width="19.7109375" customWidth="1"/>
    <col min="43" max="43" width="16.28515625" customWidth="1"/>
    <col min="44" max="47" width="27.140625" customWidth="1"/>
    <col min="48" max="48" width="21.28515625" customWidth="1"/>
    <col min="49" max="49" width="23.28515625" customWidth="1"/>
    <col min="50" max="50" width="68.140625" customWidth="1"/>
    <col min="51" max="51" width="23.28515625" customWidth="1"/>
    <col min="52" max="52" width="24.42578125" customWidth="1"/>
    <col min="53" max="53" width="18.85546875" customWidth="1"/>
    <col min="54" max="73" width="31.7109375" customWidth="1"/>
    <col min="74" max="74" width="15.5703125" customWidth="1"/>
    <col min="75" max="80" width="8.7109375" customWidth="1"/>
    <col min="81" max="16384" width="8.7109375" hidden="1"/>
  </cols>
  <sheetData>
    <row r="1" spans="1:35" s="25" customFormat="1" ht="15.75" customHeight="1">
      <c r="I1" s="52"/>
      <c r="J1" s="52"/>
      <c r="K1" s="52"/>
      <c r="L1" s="52"/>
      <c r="M1" s="52"/>
      <c r="N1" s="52"/>
      <c r="O1" s="154" t="s">
        <v>64</v>
      </c>
      <c r="P1" s="276">
        <f>IFERROR(SUM(AE11:AE30), "Error ▲")</f>
        <v>0</v>
      </c>
      <c r="R1" s="655" t="s">
        <v>65</v>
      </c>
      <c r="T1" s="26"/>
    </row>
    <row r="2" spans="1:35" s="25" customFormat="1" ht="19.899999999999999" customHeight="1">
      <c r="B2" s="80" t="s">
        <v>66</v>
      </c>
      <c r="C2" s="828" t="str">
        <f>IF('2. Site Details'!D4="","Enter site name on 2. Site Details",'2. Site Details'!D4)</f>
        <v>H08-0036-26 Polytunnel Site</v>
      </c>
      <c r="D2" s="829"/>
      <c r="F2" s="773" t="s">
        <v>227</v>
      </c>
      <c r="G2" s="774"/>
      <c r="H2" s="775"/>
      <c r="I2" s="52"/>
      <c r="J2" s="787" t="str">
        <f t="array" aca="1" ref="J2" ca="1">IFERROR(IF(OR((ISNUMBER(SEARCH("▲",A7:Q101)))),"Input Errors Present On Sheet - Red Cells Or ▲ Highlight Errors","All Key Rules Satisfied ✓ "),"Technical Errors On Sheet ▲")</f>
        <v xml:space="preserve">All Key Rules Satisfied ✓ </v>
      </c>
      <c r="K2" s="787"/>
      <c r="L2" s="787"/>
      <c r="M2" s="787"/>
      <c r="N2" s="81"/>
      <c r="O2" s="83" t="s">
        <v>68</v>
      </c>
      <c r="P2" s="276">
        <f>IFERROR(N31, "Error ▲")</f>
        <v>0</v>
      </c>
      <c r="R2" s="655"/>
      <c r="T2" s="26"/>
    </row>
    <row r="3" spans="1:35" s="25" customFormat="1" ht="19.899999999999999" customHeight="1">
      <c r="B3" s="82" t="s">
        <v>16</v>
      </c>
      <c r="C3" s="830" t="s">
        <v>228</v>
      </c>
      <c r="D3" s="831"/>
      <c r="F3" s="776"/>
      <c r="G3" s="777"/>
      <c r="H3" s="778"/>
      <c r="I3" s="52"/>
      <c r="J3" s="787"/>
      <c r="K3" s="787"/>
      <c r="L3" s="787"/>
      <c r="M3" s="787"/>
      <c r="N3" s="81"/>
      <c r="O3" s="83" t="s">
        <v>70</v>
      </c>
      <c r="P3" s="276">
        <f>IFERROR(L59, "Error ▲")</f>
        <v>0.21229999999999999</v>
      </c>
      <c r="R3" s="655"/>
      <c r="T3" s="26"/>
    </row>
    <row r="4" spans="1:35" s="25" customFormat="1" ht="19.899999999999999" customHeight="1">
      <c r="B4" s="84"/>
      <c r="C4" s="84"/>
      <c r="D4" s="84"/>
      <c r="F4" s="776"/>
      <c r="G4" s="777"/>
      <c r="H4" s="778"/>
      <c r="I4" s="52"/>
      <c r="J4" s="787"/>
      <c r="K4" s="787"/>
      <c r="L4" s="787"/>
      <c r="M4" s="787"/>
      <c r="N4" s="81"/>
      <c r="O4" s="83" t="s">
        <v>71</v>
      </c>
      <c r="P4" s="276">
        <f>IFERROR(L86, "Error ▲")</f>
        <v>0</v>
      </c>
      <c r="R4" s="655"/>
      <c r="T4" s="26"/>
    </row>
    <row r="5" spans="1:35" s="25" customFormat="1" ht="19.899999999999999" customHeight="1">
      <c r="A5" s="85"/>
      <c r="F5" s="776"/>
      <c r="G5" s="777"/>
      <c r="H5" s="778"/>
      <c r="I5" s="52"/>
      <c r="J5" s="787"/>
      <c r="K5" s="787"/>
      <c r="L5" s="787"/>
      <c r="M5" s="787"/>
      <c r="N5" s="81"/>
      <c r="O5" s="86" t="s">
        <v>72</v>
      </c>
      <c r="P5" s="277">
        <f>IFERROR(P1+L59+L86-L31, "Error ▲")</f>
        <v>0.21229999999999999</v>
      </c>
      <c r="R5" s="655"/>
      <c r="T5" s="26"/>
    </row>
    <row r="6" spans="1:35" s="25" customFormat="1" ht="13.15" customHeight="1">
      <c r="A6" s="85"/>
      <c r="F6" s="779"/>
      <c r="G6" s="780"/>
      <c r="H6" s="781"/>
      <c r="I6" s="52"/>
      <c r="J6" s="52"/>
      <c r="K6" s="52"/>
      <c r="L6" s="52"/>
      <c r="M6" s="52"/>
      <c r="N6" s="52"/>
      <c r="O6" s="87"/>
      <c r="P6" s="87"/>
      <c r="R6" s="655"/>
      <c r="T6" s="26"/>
    </row>
    <row r="7" spans="1:35" s="25" customFormat="1" ht="19.149999999999999" customHeight="1">
      <c r="B7" s="57" t="s">
        <v>73</v>
      </c>
      <c r="D7" s="88"/>
      <c r="H7" s="26"/>
      <c r="K7" s="26"/>
      <c r="L7" s="30"/>
      <c r="M7" s="30"/>
      <c r="N7" s="30"/>
      <c r="R7" s="655"/>
      <c r="T7" s="26"/>
    </row>
    <row r="8" spans="1:35" s="25" customFormat="1" ht="10.9" customHeight="1">
      <c r="A8" s="89"/>
      <c r="R8" s="655"/>
    </row>
    <row r="9" spans="1:35" s="25" customFormat="1" ht="29.65" customHeight="1">
      <c r="A9" s="89"/>
      <c r="B9" s="736" t="s">
        <v>60</v>
      </c>
      <c r="C9" s="726" t="s">
        <v>74</v>
      </c>
      <c r="D9" s="727"/>
      <c r="E9" s="728"/>
      <c r="F9" s="757" t="s">
        <v>75</v>
      </c>
      <c r="G9" s="758"/>
      <c r="H9" s="759"/>
      <c r="I9" s="726" t="s">
        <v>229</v>
      </c>
      <c r="J9" s="727"/>
      <c r="K9" s="728"/>
      <c r="L9" s="754" t="s">
        <v>77</v>
      </c>
      <c r="M9" s="755"/>
      <c r="N9" s="756"/>
      <c r="O9" s="754" t="s">
        <v>78</v>
      </c>
      <c r="P9" s="756"/>
      <c r="R9" s="655"/>
      <c r="T9" s="683" t="s">
        <v>79</v>
      </c>
      <c r="U9" s="684"/>
      <c r="V9" s="915"/>
      <c r="W9" s="683" t="s">
        <v>80</v>
      </c>
      <c r="X9" s="685"/>
      <c r="Y9" s="764"/>
      <c r="Z9" s="764"/>
      <c r="AA9" s="764"/>
      <c r="AB9" s="763" t="s">
        <v>81</v>
      </c>
      <c r="AC9" s="684"/>
      <c r="AD9" s="685"/>
      <c r="AE9" s="683" t="s">
        <v>82</v>
      </c>
      <c r="AF9" s="684"/>
      <c r="AG9" s="685"/>
      <c r="AH9" s="683" t="s">
        <v>83</v>
      </c>
      <c r="AI9" s="685" t="s">
        <v>84</v>
      </c>
    </row>
    <row r="10" spans="1:35" s="25" customFormat="1" ht="32.65" customHeight="1">
      <c r="A10" s="89"/>
      <c r="B10" s="737"/>
      <c r="C10" s="86" t="s">
        <v>85</v>
      </c>
      <c r="D10" s="772" t="s">
        <v>86</v>
      </c>
      <c r="E10" s="908"/>
      <c r="F10" s="760"/>
      <c r="G10" s="761"/>
      <c r="H10" s="762"/>
      <c r="I10" s="86" t="s">
        <v>230</v>
      </c>
      <c r="J10" s="196" t="s">
        <v>231</v>
      </c>
      <c r="K10" s="90" t="s">
        <v>232</v>
      </c>
      <c r="L10" s="390" t="s">
        <v>233</v>
      </c>
      <c r="M10" s="391" t="s">
        <v>234</v>
      </c>
      <c r="N10" s="392" t="s">
        <v>92</v>
      </c>
      <c r="O10" s="86" t="s">
        <v>93</v>
      </c>
      <c r="P10" s="90" t="s">
        <v>94</v>
      </c>
      <c r="R10" s="655"/>
      <c r="T10" s="681" t="s">
        <v>95</v>
      </c>
      <c r="U10" s="682"/>
      <c r="V10" s="339" t="s">
        <v>96</v>
      </c>
      <c r="W10" s="91" t="s">
        <v>97</v>
      </c>
      <c r="X10" s="92" t="s">
        <v>96</v>
      </c>
      <c r="Y10" s="344"/>
      <c r="Z10" s="344"/>
      <c r="AA10" s="344"/>
      <c r="AB10" s="332" t="s">
        <v>81</v>
      </c>
      <c r="AC10" s="49" t="s">
        <v>81</v>
      </c>
      <c r="AD10" s="92" t="s">
        <v>98</v>
      </c>
      <c r="AE10" s="91" t="s">
        <v>99</v>
      </c>
      <c r="AF10" s="49" t="s">
        <v>100</v>
      </c>
      <c r="AG10" s="92" t="s">
        <v>101</v>
      </c>
      <c r="AH10" s="681"/>
      <c r="AI10" s="907"/>
    </row>
    <row r="11" spans="1:35" s="25" customFormat="1" ht="30">
      <c r="A11" s="89"/>
      <c r="B11" s="269">
        <v>1</v>
      </c>
      <c r="C11" s="549" t="s">
        <v>235</v>
      </c>
      <c r="D11" s="883"/>
      <c r="E11" s="884"/>
      <c r="F11" s="909"/>
      <c r="G11" s="910"/>
      <c r="H11" s="911"/>
      <c r="I11" s="300"/>
      <c r="J11" s="301"/>
      <c r="K11" s="302"/>
      <c r="L11" s="293" t="str">
        <f>IF(D11="","",IFERROR(IF(I11="","",((I11/1000)*V11*X11)*AD11),"This intervention is not permitted within the SSM ▲"))</f>
        <v/>
      </c>
      <c r="M11" s="312" t="str">
        <f>IF(I11="","",IF(J11+K11&gt;I11,"Length Error ▲",I11-J11-K11))</f>
        <v/>
      </c>
      <c r="N11" s="294" t="str">
        <f>IFERROR(IF(I11="","",IF(M11="Length Error ▲","Length Error ▲",((M11/1000)*V11*X11)*AD11)),"This intervention is not permitted within the SSM ▲")</f>
        <v/>
      </c>
      <c r="O11" s="143"/>
      <c r="P11" s="144"/>
      <c r="R11" s="655"/>
      <c r="T11" s="664" t="str">
        <f>IF(D11="","",VLOOKUP(D11,'9. All Habitats + Multipliers'!$C$4:$K$102,5,FALSE))</f>
        <v/>
      </c>
      <c r="U11" s="665"/>
      <c r="V11" s="342" t="str">
        <f>IF(T11="","",VLOOKUP(T11,'11. Lists'!$S$47:$U$50,2,FALSE))</f>
        <v/>
      </c>
      <c r="W11" s="93" t="str">
        <f>IF(D11="","",VLOOKUP(D11,'10. Condition and Temporal'!$B$6:$C$103,2,FALSE))</f>
        <v/>
      </c>
      <c r="X11" s="94" t="str">
        <f>IF(W11="","",VLOOKUP(W11,'11. Lists'!$F$47:$G$51,2,FALSE))</f>
        <v/>
      </c>
      <c r="Y11" s="48"/>
      <c r="Z11" s="48"/>
      <c r="AA11" s="48"/>
      <c r="AB11" s="183" t="str">
        <f>IF(F11="","",F11)</f>
        <v/>
      </c>
      <c r="AC11" s="95" t="str">
        <f>IF(AB11="","",VLOOKUP(AB11,'11. Lists'!$F$36:$H$38,2,FALSE))</f>
        <v/>
      </c>
      <c r="AD11" s="94" t="str">
        <f>IF(AB11="","",VLOOKUP(AB11,'11. Lists'!$F$36:$H$38,3,FALSE))</f>
        <v/>
      </c>
      <c r="AE11" s="296" t="str">
        <f>IF(D11="","",((J11/1000)*V11*X11)*AD11)</f>
        <v/>
      </c>
      <c r="AF11" s="297" t="str">
        <f>IF(D11="","",((K11/1000)*V11*X11)*AD11)</f>
        <v/>
      </c>
      <c r="AG11" s="96" t="str">
        <f>IF(D11="","",M11)</f>
        <v/>
      </c>
      <c r="AH11" s="93" t="str">
        <f>IF(T11="","",VLOOKUP(T11,'11. Lists'!$B$47:$D$49,3,FALSE))</f>
        <v/>
      </c>
      <c r="AI11" s="94" t="str">
        <f>IF(D11="","",VLOOKUP(D11,'10. Condition and Temporal'!$B$6:$L$103,4,FALSE))</f>
        <v/>
      </c>
    </row>
    <row r="12" spans="1:35" s="25" customFormat="1" ht="15.75">
      <c r="B12" s="263"/>
      <c r="C12" s="549"/>
      <c r="D12" s="673"/>
      <c r="E12" s="674"/>
      <c r="F12" s="912"/>
      <c r="G12" s="913"/>
      <c r="H12" s="914"/>
      <c r="I12" s="303"/>
      <c r="J12" s="304"/>
      <c r="K12" s="305"/>
      <c r="L12" s="292" t="str">
        <f t="shared" ref="L12:L30" si="0">IF(D12="","",IFERROR(IF(I12="","",((I12/1000)*V12*X12)*AD12),"This intervention is not permitted within the SSM ▲"))</f>
        <v/>
      </c>
      <c r="M12" s="299" t="str">
        <f t="shared" ref="M12:M30" si="1">IF(I12="","",IF(J12+K12&gt;I12,"Length Error ▲",I12-J12-K12))</f>
        <v/>
      </c>
      <c r="N12" s="288" t="str">
        <f t="shared" ref="N12:N30" si="2">IFERROR(IF(I12="","",IF(M12="Length Error ▲","Length Error ▲",((M12/1000)*V12*X12)*AD12)),"This intervention is not permitted within the SSM ▲")</f>
        <v/>
      </c>
      <c r="O12" s="68"/>
      <c r="P12" s="3"/>
      <c r="R12" s="655"/>
      <c r="T12" s="664" t="str">
        <f>IF(D12="","",VLOOKUP(D12,'9. All Habitats + Multipliers'!$C$4:$K$102,5,FALSE))</f>
        <v/>
      </c>
      <c r="U12" s="665"/>
      <c r="V12" s="342" t="str">
        <f>IF(T12="","",VLOOKUP(T12,'11. Lists'!$S$47:$U$50,2,FALSE))</f>
        <v/>
      </c>
      <c r="W12" s="93" t="str">
        <f>IF(D12="","",VLOOKUP(D12,'10. Condition and Temporal'!$B$6:$C$103,2,FALSE))</f>
        <v/>
      </c>
      <c r="X12" s="94" t="str">
        <f>IF(W12="","",VLOOKUP(W12,'11. Lists'!$F$47:$G$51,2,FALSE))</f>
        <v/>
      </c>
      <c r="Y12" s="48"/>
      <c r="Z12" s="48"/>
      <c r="AA12" s="48"/>
      <c r="AB12" s="183" t="str">
        <f>IF(F12="","",F12)</f>
        <v/>
      </c>
      <c r="AC12" s="95" t="str">
        <f>IF(AB12="","",VLOOKUP(AB12,'11. Lists'!$F$36:$H$38,2,FALSE))</f>
        <v/>
      </c>
      <c r="AD12" s="94" t="str">
        <f>IF(AB12="","",VLOOKUP(AB12,'11. Lists'!$F$36:$H$38,3,FALSE))</f>
        <v/>
      </c>
      <c r="AE12" s="296" t="str">
        <f t="shared" ref="AE12:AE30" si="3">IF(D12="","",((J12/1000)*V12*X12)*AD12)</f>
        <v/>
      </c>
      <c r="AF12" s="297"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15.75">
      <c r="B13" s="263"/>
      <c r="C13" s="549"/>
      <c r="D13" s="673"/>
      <c r="E13" s="674"/>
      <c r="F13" s="912"/>
      <c r="G13" s="913"/>
      <c r="H13" s="914"/>
      <c r="I13" s="303"/>
      <c r="J13" s="304"/>
      <c r="K13" s="305"/>
      <c r="L13" s="292" t="str">
        <f t="shared" si="0"/>
        <v/>
      </c>
      <c r="M13" s="299" t="str">
        <f t="shared" si="1"/>
        <v/>
      </c>
      <c r="N13" s="288" t="str">
        <f t="shared" si="2"/>
        <v/>
      </c>
      <c r="O13" s="285"/>
      <c r="P13" s="3"/>
      <c r="R13" s="655"/>
      <c r="T13" s="664" t="str">
        <f>IF(D13="","",VLOOKUP(D13,'9. All Habitats + Multipliers'!$C$4:$K$102,5,FALSE))</f>
        <v/>
      </c>
      <c r="U13" s="665"/>
      <c r="V13" s="342" t="str">
        <f>IF(T13="","",VLOOKUP(T13,'11. Lists'!$S$47:$U$50,2,FALSE))</f>
        <v/>
      </c>
      <c r="W13" s="93" t="str">
        <f>IF(D13="","",VLOOKUP(D13,'10. Condition and Temporal'!$B$6:$C$103,2,FALSE))</f>
        <v/>
      </c>
      <c r="X13" s="94" t="str">
        <f>IF(W13="","",VLOOKUP(W13,'11. Lists'!$F$47:$G$51,2,FALSE))</f>
        <v/>
      </c>
      <c r="Y13" s="48"/>
      <c r="Z13" s="48"/>
      <c r="AA13" s="48"/>
      <c r="AB13" s="183" t="str">
        <f t="shared" ref="AB13:AB30" si="6">IF(F13="","",F13)</f>
        <v/>
      </c>
      <c r="AC13" s="95" t="str">
        <f>IF(AB13="","",VLOOKUP(AB13,'11. Lists'!$F$36:$H$38,2,FALSE))</f>
        <v/>
      </c>
      <c r="AD13" s="94" t="str">
        <f>IF(AB13="","",VLOOKUP(AB13,'11. Lists'!$F$36:$H$38,3,FALSE))</f>
        <v/>
      </c>
      <c r="AE13" s="296" t="str">
        <f t="shared" si="3"/>
        <v/>
      </c>
      <c r="AF13" s="297" t="str">
        <f t="shared" si="4"/>
        <v/>
      </c>
      <c r="AG13" s="96" t="str">
        <f t="shared" si="5"/>
        <v/>
      </c>
      <c r="AH13" s="93" t="str">
        <f>IF(T13="","",VLOOKUP(T13,'11. Lists'!$B$47:$D$49,3,FALSE))</f>
        <v/>
      </c>
      <c r="AI13" s="94" t="str">
        <f>IF(D13="","",VLOOKUP(D13,'10. Condition and Temporal'!$B$6:$L$103,4,FALSE))</f>
        <v/>
      </c>
    </row>
    <row r="14" spans="1:35" s="25" customFormat="1" ht="15.75">
      <c r="B14" s="263"/>
      <c r="C14" s="549"/>
      <c r="D14" s="673"/>
      <c r="E14" s="674"/>
      <c r="F14" s="912"/>
      <c r="G14" s="913"/>
      <c r="H14" s="914"/>
      <c r="I14" s="303"/>
      <c r="J14" s="304"/>
      <c r="K14" s="305"/>
      <c r="L14" s="292" t="str">
        <f t="shared" si="0"/>
        <v/>
      </c>
      <c r="M14" s="299" t="str">
        <f t="shared" si="1"/>
        <v/>
      </c>
      <c r="N14" s="288" t="str">
        <f t="shared" si="2"/>
        <v/>
      </c>
      <c r="O14" s="68"/>
      <c r="P14" s="3"/>
      <c r="R14" s="655"/>
      <c r="T14" s="664" t="str">
        <f>IF(D14="","",VLOOKUP(D14,'9. All Habitats + Multipliers'!$C$4:$K$102,5,FALSE))</f>
        <v/>
      </c>
      <c r="U14" s="665"/>
      <c r="V14" s="342" t="str">
        <f>IF(T14="","",VLOOKUP(T14,'11. Lists'!$S$47:$U$50,2,FALSE))</f>
        <v/>
      </c>
      <c r="W14" s="93" t="str">
        <f>IF(D14="","",VLOOKUP(D14,'10. Condition and Temporal'!$B$6:$C$103,2,FALSE))</f>
        <v/>
      </c>
      <c r="X14" s="94" t="str">
        <f>IF(W14="","",VLOOKUP(W14,'11. Lists'!$F$47:$G$51,2,FALSE))</f>
        <v/>
      </c>
      <c r="Y14" s="48"/>
      <c r="Z14" s="48"/>
      <c r="AA14" s="48"/>
      <c r="AB14" s="183" t="str">
        <f t="shared" si="6"/>
        <v/>
      </c>
      <c r="AC14" s="95" t="str">
        <f>IF(AB14="","",VLOOKUP(AB14,'11. Lists'!$F$36:$H$38,2,FALSE))</f>
        <v/>
      </c>
      <c r="AD14" s="94" t="str">
        <f>IF(AB14="","",VLOOKUP(AB14,'11. Lists'!$F$36:$H$38,3,FALSE))</f>
        <v/>
      </c>
      <c r="AE14" s="296" t="str">
        <f t="shared" si="3"/>
        <v/>
      </c>
      <c r="AF14" s="297" t="str">
        <f t="shared" si="4"/>
        <v/>
      </c>
      <c r="AG14" s="96" t="str">
        <f t="shared" si="5"/>
        <v/>
      </c>
      <c r="AH14" s="93" t="str">
        <f>IF(T14="","",VLOOKUP(T14,'11. Lists'!$B$47:$D$49,3,FALSE))</f>
        <v/>
      </c>
      <c r="AI14" s="94" t="str">
        <f>IF(D14="","",VLOOKUP(D14,'10. Condition and Temporal'!$B$6:$L$103,4,FALSE))</f>
        <v/>
      </c>
    </row>
    <row r="15" spans="1:35" s="25" customFormat="1" ht="15.75">
      <c r="B15" s="263"/>
      <c r="C15" s="549"/>
      <c r="D15" s="673"/>
      <c r="E15" s="674"/>
      <c r="F15" s="767"/>
      <c r="G15" s="768"/>
      <c r="H15" s="769"/>
      <c r="I15" s="303"/>
      <c r="J15" s="304"/>
      <c r="K15" s="305"/>
      <c r="L15" s="292" t="str">
        <f t="shared" si="0"/>
        <v/>
      </c>
      <c r="M15" s="299" t="str">
        <f t="shared" si="1"/>
        <v/>
      </c>
      <c r="N15" s="288" t="str">
        <f t="shared" si="2"/>
        <v/>
      </c>
      <c r="O15" s="68"/>
      <c r="P15" s="3"/>
      <c r="R15" s="655"/>
      <c r="T15" s="664" t="str">
        <f>IF(D15="","",VLOOKUP(D15,'9. All Habitats + Multipliers'!$C$4:$K$102,5,FALSE))</f>
        <v/>
      </c>
      <c r="U15" s="665"/>
      <c r="V15" s="342" t="str">
        <f>IF(T15="","",VLOOKUP(T15,'11. Lists'!$S$47:$U$50,2,FALSE))</f>
        <v/>
      </c>
      <c r="W15" s="93" t="str">
        <f>IF(D15="","",VLOOKUP(D15,'10. Condition and Temporal'!$B$6:$C$103,2,FALSE))</f>
        <v/>
      </c>
      <c r="X15" s="94" t="str">
        <f>IF(W15="","",VLOOKUP(W15,'11. Lists'!$F$47:$G$51,2,FALSE))</f>
        <v/>
      </c>
      <c r="Y15" s="48"/>
      <c r="Z15" s="48"/>
      <c r="AA15" s="48"/>
      <c r="AB15" s="183" t="str">
        <f t="shared" si="6"/>
        <v/>
      </c>
      <c r="AC15" s="95" t="str">
        <f>IF(AB15="","",VLOOKUP(AB15,'11. Lists'!$F$36:$H$38,2,FALSE))</f>
        <v/>
      </c>
      <c r="AD15" s="94" t="str">
        <f>IF(AB15="","",VLOOKUP(AB15,'11. Lists'!$F$36:$H$38,3,FALSE))</f>
        <v/>
      </c>
      <c r="AE15" s="296" t="str">
        <f t="shared" si="3"/>
        <v/>
      </c>
      <c r="AF15" s="297" t="str">
        <f t="shared" si="4"/>
        <v/>
      </c>
      <c r="AG15" s="96" t="str">
        <f t="shared" si="5"/>
        <v/>
      </c>
      <c r="AH15" s="93" t="str">
        <f>IF(T15="","",VLOOKUP(T15,'11. Lists'!$B$47:$D$49,3,FALSE))</f>
        <v/>
      </c>
      <c r="AI15" s="94" t="str">
        <f>IF(D15="","",VLOOKUP(D15,'10. Condition and Temporal'!$B$6:$L$103,4,FALSE))</f>
        <v/>
      </c>
    </row>
    <row r="16" spans="1:35" s="25" customFormat="1" ht="15.75">
      <c r="B16" s="263"/>
      <c r="C16" s="549"/>
      <c r="D16" s="673"/>
      <c r="E16" s="674"/>
      <c r="F16" s="767"/>
      <c r="G16" s="768"/>
      <c r="H16" s="769"/>
      <c r="I16" s="303"/>
      <c r="J16" s="304"/>
      <c r="K16" s="305"/>
      <c r="L16" s="292" t="str">
        <f t="shared" si="0"/>
        <v/>
      </c>
      <c r="M16" s="299" t="str">
        <f t="shared" si="1"/>
        <v/>
      </c>
      <c r="N16" s="288" t="str">
        <f t="shared" si="2"/>
        <v/>
      </c>
      <c r="O16" s="68"/>
      <c r="P16" s="3"/>
      <c r="R16" s="655"/>
      <c r="T16" s="664" t="str">
        <f>IF(D16="","",VLOOKUP(D16,'9. All Habitats + Multipliers'!$C$4:$K$102,5,FALSE))</f>
        <v/>
      </c>
      <c r="U16" s="665"/>
      <c r="V16" s="342" t="str">
        <f>IF(T16="","",VLOOKUP(T16,'11. Lists'!$S$47:$U$50,2,FALSE))</f>
        <v/>
      </c>
      <c r="W16" s="93" t="str">
        <f>IF(D16="","",VLOOKUP(D16,'10. Condition and Temporal'!$B$6:$C$103,2,FALSE))</f>
        <v/>
      </c>
      <c r="X16" s="94" t="str">
        <f>IF(W16="","",VLOOKUP(W16,'11. Lists'!$F$47:$G$51,2,FALSE))</f>
        <v/>
      </c>
      <c r="Y16" s="48"/>
      <c r="Z16" s="48"/>
      <c r="AA16" s="48"/>
      <c r="AB16" s="183" t="str">
        <f t="shared" si="6"/>
        <v/>
      </c>
      <c r="AC16" s="95" t="str">
        <f>IF(AB16="","",VLOOKUP(AB16,'11. Lists'!$F$36:$H$38,2,FALSE))</f>
        <v/>
      </c>
      <c r="AD16" s="94" t="str">
        <f>IF(AB16="","",VLOOKUP(AB16,'11. Lists'!$F$36:$H$38,3,FALSE))</f>
        <v/>
      </c>
      <c r="AE16" s="296" t="str">
        <f t="shared" si="3"/>
        <v/>
      </c>
      <c r="AF16" s="297" t="str">
        <f t="shared" si="4"/>
        <v/>
      </c>
      <c r="AG16" s="96" t="str">
        <f t="shared" si="5"/>
        <v/>
      </c>
      <c r="AH16" s="93" t="str">
        <f>IF(T16="","",VLOOKUP(T16,'11. Lists'!$B$47:$D$49,3,FALSE))</f>
        <v/>
      </c>
      <c r="AI16" s="94" t="str">
        <f>IF(D16="","",VLOOKUP(D16,'10. Condition and Temporal'!$B$6:$L$103,4,FALSE))</f>
        <v/>
      </c>
    </row>
    <row r="17" spans="2:35" s="25" customFormat="1" ht="15.75">
      <c r="B17" s="263"/>
      <c r="C17" s="549"/>
      <c r="D17" s="673"/>
      <c r="E17" s="674"/>
      <c r="F17" s="767"/>
      <c r="G17" s="768"/>
      <c r="H17" s="769"/>
      <c r="I17" s="303"/>
      <c r="J17" s="304"/>
      <c r="K17" s="305"/>
      <c r="L17" s="292" t="str">
        <f t="shared" si="0"/>
        <v/>
      </c>
      <c r="M17" s="299" t="str">
        <f t="shared" si="1"/>
        <v/>
      </c>
      <c r="N17" s="288" t="str">
        <f t="shared" si="2"/>
        <v/>
      </c>
      <c r="O17" s="68"/>
      <c r="P17" s="3"/>
      <c r="R17" s="655"/>
      <c r="T17" s="664" t="str">
        <f>IF(D17="","",VLOOKUP(D17,'9. All Habitats + Multipliers'!$C$4:$K$102,5,FALSE))</f>
        <v/>
      </c>
      <c r="U17" s="665"/>
      <c r="V17" s="342" t="str">
        <f>IF(T17="","",VLOOKUP(T17,'11. Lists'!$S$47:$U$50,2,FALSE))</f>
        <v/>
      </c>
      <c r="W17" s="93" t="str">
        <f>IF(D17="","",VLOOKUP(D17,'10. Condition and Temporal'!$B$6:$C$103,2,FALSE))</f>
        <v/>
      </c>
      <c r="X17" s="94" t="str">
        <f>IF(W17="","",VLOOKUP(W17,'11. Lists'!$F$47:$G$51,2,FALSE))</f>
        <v/>
      </c>
      <c r="Y17" s="48"/>
      <c r="Z17" s="48"/>
      <c r="AA17" s="48"/>
      <c r="AB17" s="183" t="str">
        <f t="shared" si="6"/>
        <v/>
      </c>
      <c r="AC17" s="95" t="str">
        <f>IF(AB17="","",VLOOKUP(AB17,'11. Lists'!$F$36:$H$38,2,FALSE))</f>
        <v/>
      </c>
      <c r="AD17" s="94" t="str">
        <f>IF(AB17="","",VLOOKUP(AB17,'11. Lists'!$F$36:$H$38,3,FALSE))</f>
        <v/>
      </c>
      <c r="AE17" s="296" t="str">
        <f t="shared" si="3"/>
        <v/>
      </c>
      <c r="AF17" s="297" t="str">
        <f t="shared" si="4"/>
        <v/>
      </c>
      <c r="AG17" s="96" t="str">
        <f t="shared" si="5"/>
        <v/>
      </c>
      <c r="AH17" s="93" t="str">
        <f>IF(T17="","",VLOOKUP(T17,'11. Lists'!$B$47:$D$49,3,FALSE))</f>
        <v/>
      </c>
      <c r="AI17" s="94" t="str">
        <f>IF(D17="","",VLOOKUP(D17,'10. Condition and Temporal'!$B$6:$L$103,4,FALSE))</f>
        <v/>
      </c>
    </row>
    <row r="18" spans="2:35" s="25" customFormat="1" ht="15.75">
      <c r="B18" s="263"/>
      <c r="C18" s="549"/>
      <c r="D18" s="673"/>
      <c r="E18" s="674"/>
      <c r="F18" s="767"/>
      <c r="G18" s="768"/>
      <c r="H18" s="769"/>
      <c r="I18" s="303"/>
      <c r="J18" s="304"/>
      <c r="K18" s="305"/>
      <c r="L18" s="292" t="str">
        <f t="shared" si="0"/>
        <v/>
      </c>
      <c r="M18" s="299" t="str">
        <f t="shared" si="1"/>
        <v/>
      </c>
      <c r="N18" s="288" t="str">
        <f t="shared" si="2"/>
        <v/>
      </c>
      <c r="O18" s="68"/>
      <c r="P18" s="3"/>
      <c r="R18" s="655"/>
      <c r="T18" s="664" t="str">
        <f>IF(D18="","",VLOOKUP(D18,'9. All Habitats + Multipliers'!$C$4:$K$102,5,FALSE))</f>
        <v/>
      </c>
      <c r="U18" s="665"/>
      <c r="V18" s="342" t="str">
        <f>IF(T18="","",VLOOKUP(T18,'11. Lists'!$S$47:$U$50,2,FALSE))</f>
        <v/>
      </c>
      <c r="W18" s="93" t="str">
        <f>IF(D18="","",VLOOKUP(D18,'10. Condition and Temporal'!$B$6:$C$103,2,FALSE))</f>
        <v/>
      </c>
      <c r="X18" s="94" t="str">
        <f>IF(W18="","",VLOOKUP(W18,'11. Lists'!$F$47:$G$51,2,FALSE))</f>
        <v/>
      </c>
      <c r="Y18" s="48"/>
      <c r="Z18" s="48"/>
      <c r="AA18" s="48"/>
      <c r="AB18" s="183" t="str">
        <f t="shared" si="6"/>
        <v/>
      </c>
      <c r="AC18" s="95" t="str">
        <f>IF(AB18="","",VLOOKUP(AB18,'11. Lists'!$F$36:$H$38,2,FALSE))</f>
        <v/>
      </c>
      <c r="AD18" s="94" t="str">
        <f>IF(AB18="","",VLOOKUP(AB18,'11. Lists'!$F$36:$H$38,3,FALSE))</f>
        <v/>
      </c>
      <c r="AE18" s="296" t="str">
        <f t="shared" si="3"/>
        <v/>
      </c>
      <c r="AF18" s="297" t="str">
        <f t="shared" si="4"/>
        <v/>
      </c>
      <c r="AG18" s="96" t="str">
        <f t="shared" si="5"/>
        <v/>
      </c>
      <c r="AH18" s="93" t="str">
        <f>IF(T18="","",VLOOKUP(T18,'11. Lists'!$B$47:$D$49,3,FALSE))</f>
        <v/>
      </c>
      <c r="AI18" s="94" t="str">
        <f>IF(D18="","",VLOOKUP(D18,'10. Condition and Temporal'!$B$6:$L$103,4,FALSE))</f>
        <v/>
      </c>
    </row>
    <row r="19" spans="2:35" s="25" customFormat="1" ht="15.75">
      <c r="B19" s="263"/>
      <c r="C19" s="549"/>
      <c r="D19" s="673"/>
      <c r="E19" s="674"/>
      <c r="F19" s="767"/>
      <c r="G19" s="768"/>
      <c r="H19" s="769"/>
      <c r="I19" s="303"/>
      <c r="J19" s="304"/>
      <c r="K19" s="305"/>
      <c r="L19" s="292" t="str">
        <f t="shared" si="0"/>
        <v/>
      </c>
      <c r="M19" s="299" t="str">
        <f t="shared" si="1"/>
        <v/>
      </c>
      <c r="N19" s="288" t="str">
        <f t="shared" si="2"/>
        <v/>
      </c>
      <c r="O19" s="68"/>
      <c r="P19" s="3"/>
      <c r="R19" s="655"/>
      <c r="T19" s="664" t="str">
        <f>IF(D19="","",VLOOKUP(D19,'9. All Habitats + Multipliers'!$C$4:$K$102,5,FALSE))</f>
        <v/>
      </c>
      <c r="U19" s="665"/>
      <c r="V19" s="342" t="str">
        <f>IF(T19="","",VLOOKUP(T19,'11. Lists'!$S$47:$U$50,2,FALSE))</f>
        <v/>
      </c>
      <c r="W19" s="93" t="str">
        <f>IF(D19="","",VLOOKUP(D19,'10. Condition and Temporal'!$B$6:$C$103,2,FALSE))</f>
        <v/>
      </c>
      <c r="X19" s="94" t="str">
        <f>IF(W19="","",VLOOKUP(W19,'11. Lists'!$F$47:$G$51,2,FALSE))</f>
        <v/>
      </c>
      <c r="Y19" s="48"/>
      <c r="Z19" s="48"/>
      <c r="AA19" s="48"/>
      <c r="AB19" s="183" t="str">
        <f t="shared" si="6"/>
        <v/>
      </c>
      <c r="AC19" s="95" t="str">
        <f>IF(AB19="","",VLOOKUP(AB19,'11. Lists'!$F$36:$H$38,2,FALSE))</f>
        <v/>
      </c>
      <c r="AD19" s="94" t="str">
        <f>IF(AB19="","",VLOOKUP(AB19,'11. Lists'!$F$36:$H$38,3,FALSE))</f>
        <v/>
      </c>
      <c r="AE19" s="296" t="str">
        <f t="shared" si="3"/>
        <v/>
      </c>
      <c r="AF19" s="297" t="str">
        <f t="shared" si="4"/>
        <v/>
      </c>
      <c r="AG19" s="96" t="str">
        <f t="shared" si="5"/>
        <v/>
      </c>
      <c r="AH19" s="93" t="str">
        <f>IF(T19="","",VLOOKUP(T19,'11. Lists'!$B$47:$D$49,3,FALSE))</f>
        <v/>
      </c>
      <c r="AI19" s="94" t="str">
        <f>IF(D19="","",VLOOKUP(D19,'10. Condition and Temporal'!$B$6:$L$103,4,FALSE))</f>
        <v/>
      </c>
    </row>
    <row r="20" spans="2:35" s="25" customFormat="1" ht="15.75">
      <c r="B20" s="263"/>
      <c r="C20" s="550"/>
      <c r="D20" s="673"/>
      <c r="E20" s="674"/>
      <c r="F20" s="767"/>
      <c r="G20" s="768"/>
      <c r="H20" s="769"/>
      <c r="I20" s="303"/>
      <c r="J20" s="304"/>
      <c r="K20" s="305"/>
      <c r="L20" s="292" t="str">
        <f t="shared" si="0"/>
        <v/>
      </c>
      <c r="M20" s="299" t="str">
        <f t="shared" si="1"/>
        <v/>
      </c>
      <c r="N20" s="288" t="str">
        <f t="shared" si="2"/>
        <v/>
      </c>
      <c r="O20" s="69"/>
      <c r="P20" s="8"/>
      <c r="R20" s="655"/>
      <c r="T20" s="664" t="str">
        <f>IF(D20="","",VLOOKUP(D20,'9. All Habitats + Multipliers'!$C$4:$K$102,5,FALSE))</f>
        <v/>
      </c>
      <c r="U20" s="665"/>
      <c r="V20" s="342" t="str">
        <f>IF(T20="","",VLOOKUP(T20,'11. Lists'!$S$47:$U$50,2,FALSE))</f>
        <v/>
      </c>
      <c r="W20" s="93" t="str">
        <f>IF(D20="","",VLOOKUP(D20,'10. Condition and Temporal'!$B$6:$C$103,2,FALSE))</f>
        <v/>
      </c>
      <c r="X20" s="94" t="str">
        <f>IF(W20="","",VLOOKUP(W20,'11. Lists'!$F$47:$G$51,2,FALSE))</f>
        <v/>
      </c>
      <c r="Y20" s="48"/>
      <c r="Z20" s="48"/>
      <c r="AA20" s="48"/>
      <c r="AB20" s="183" t="str">
        <f t="shared" si="6"/>
        <v/>
      </c>
      <c r="AC20" s="95" t="str">
        <f>IF(AB20="","",VLOOKUP(AB20,'11. Lists'!$F$36:$H$38,2,FALSE))</f>
        <v/>
      </c>
      <c r="AD20" s="94" t="str">
        <f>IF(AB20="","",VLOOKUP(AB20,'11. Lists'!$F$36:$H$38,3,FALSE))</f>
        <v/>
      </c>
      <c r="AE20" s="296" t="str">
        <f t="shared" si="3"/>
        <v/>
      </c>
      <c r="AF20" s="297" t="str">
        <f t="shared" si="4"/>
        <v/>
      </c>
      <c r="AG20" s="96" t="str">
        <f t="shared" si="5"/>
        <v/>
      </c>
      <c r="AH20" s="93" t="str">
        <f>IF(T20="","",VLOOKUP(T20,'11. Lists'!$B$47:$D$49,3,FALSE))</f>
        <v/>
      </c>
      <c r="AI20" s="94" t="str">
        <f>IF(D20="","",VLOOKUP(D20,'10. Condition and Temporal'!$B$6:$L$103,4,FALSE))</f>
        <v/>
      </c>
    </row>
    <row r="21" spans="2:35" s="25" customFormat="1" ht="15.75">
      <c r="B21" s="263"/>
      <c r="C21" s="549"/>
      <c r="D21" s="673"/>
      <c r="E21" s="674"/>
      <c r="F21" s="767"/>
      <c r="G21" s="768"/>
      <c r="H21" s="769"/>
      <c r="I21" s="303"/>
      <c r="J21" s="304"/>
      <c r="K21" s="305"/>
      <c r="L21" s="292" t="str">
        <f t="shared" si="0"/>
        <v/>
      </c>
      <c r="M21" s="299" t="str">
        <f t="shared" si="1"/>
        <v/>
      </c>
      <c r="N21" s="288" t="str">
        <f t="shared" si="2"/>
        <v/>
      </c>
      <c r="O21" s="69"/>
      <c r="P21" s="8"/>
      <c r="R21" s="655"/>
      <c r="T21" s="664" t="str">
        <f>IF(D21="","",VLOOKUP(D21,'9. All Habitats + Multipliers'!$C$4:$K$102,5,FALSE))</f>
        <v/>
      </c>
      <c r="U21" s="665"/>
      <c r="V21" s="342" t="str">
        <f>IF(T21="","",VLOOKUP(T21,'11. Lists'!$S$47:$U$50,2,FALSE))</f>
        <v/>
      </c>
      <c r="W21" s="93" t="str">
        <f>IF(D21="","",VLOOKUP(D21,'10. Condition and Temporal'!$B$6:$C$103,2,FALSE))</f>
        <v/>
      </c>
      <c r="X21" s="94" t="str">
        <f>IF(W21="","",VLOOKUP(W21,'11. Lists'!$F$47:$G$51,2,FALSE))</f>
        <v/>
      </c>
      <c r="Y21" s="48"/>
      <c r="Z21" s="48"/>
      <c r="AA21" s="48"/>
      <c r="AB21" s="183" t="str">
        <f t="shared" si="6"/>
        <v/>
      </c>
      <c r="AC21" s="95" t="str">
        <f>IF(AB21="","",VLOOKUP(AB21,'11. Lists'!$F$36:$H$38,2,FALSE))</f>
        <v/>
      </c>
      <c r="AD21" s="94" t="str">
        <f>IF(AB21="","",VLOOKUP(AB21,'11. Lists'!$F$36:$H$38,3,FALSE))</f>
        <v/>
      </c>
      <c r="AE21" s="296" t="str">
        <f t="shared" si="3"/>
        <v/>
      </c>
      <c r="AF21" s="297" t="str">
        <f t="shared" si="4"/>
        <v/>
      </c>
      <c r="AG21" s="96" t="str">
        <f t="shared" si="5"/>
        <v/>
      </c>
      <c r="AH21" s="93" t="str">
        <f>IF(T21="","",VLOOKUP(T21,'11. Lists'!$B$47:$D$49,3,FALSE))</f>
        <v/>
      </c>
      <c r="AI21" s="94" t="str">
        <f>IF(D21="","",VLOOKUP(D21,'10. Condition and Temporal'!$B$6:$L$103,4,FALSE))</f>
        <v/>
      </c>
    </row>
    <row r="22" spans="2:35" s="25" customFormat="1" ht="15.75">
      <c r="B22" s="263"/>
      <c r="C22" s="549"/>
      <c r="D22" s="673"/>
      <c r="E22" s="674"/>
      <c r="F22" s="767"/>
      <c r="G22" s="768"/>
      <c r="H22" s="769"/>
      <c r="I22" s="303"/>
      <c r="J22" s="304"/>
      <c r="K22" s="305"/>
      <c r="L22" s="292" t="str">
        <f t="shared" si="0"/>
        <v/>
      </c>
      <c r="M22" s="299" t="str">
        <f t="shared" si="1"/>
        <v/>
      </c>
      <c r="N22" s="288" t="str">
        <f t="shared" si="2"/>
        <v/>
      </c>
      <c r="O22" s="69"/>
      <c r="P22" s="8"/>
      <c r="R22" s="655"/>
      <c r="T22" s="664" t="str">
        <f>IF(D22="","",VLOOKUP(D22,'9. All Habitats + Multipliers'!$C$4:$K$102,5,FALSE))</f>
        <v/>
      </c>
      <c r="U22" s="665"/>
      <c r="V22" s="342" t="str">
        <f>IF(T22="","",VLOOKUP(T22,'11. Lists'!$S$47:$U$50,2,FALSE))</f>
        <v/>
      </c>
      <c r="W22" s="93" t="str">
        <f>IF(D22="","",VLOOKUP(D22,'10. Condition and Temporal'!$B$6:$C$103,2,FALSE))</f>
        <v/>
      </c>
      <c r="X22" s="94" t="str">
        <f>IF(W22="","",VLOOKUP(W22,'11. Lists'!$F$47:$G$51,2,FALSE))</f>
        <v/>
      </c>
      <c r="Y22" s="48"/>
      <c r="Z22" s="48"/>
      <c r="AA22" s="48"/>
      <c r="AB22" s="183" t="str">
        <f t="shared" si="6"/>
        <v/>
      </c>
      <c r="AC22" s="95" t="str">
        <f>IF(AB22="","",VLOOKUP(AB22,'11. Lists'!$F$36:$H$38,2,FALSE))</f>
        <v/>
      </c>
      <c r="AD22" s="94" t="str">
        <f>IF(AB22="","",VLOOKUP(AB22,'11. Lists'!$F$36:$H$38,3,FALSE))</f>
        <v/>
      </c>
      <c r="AE22" s="296" t="str">
        <f t="shared" si="3"/>
        <v/>
      </c>
      <c r="AF22" s="297" t="str">
        <f t="shared" si="4"/>
        <v/>
      </c>
      <c r="AG22" s="96" t="str">
        <f t="shared" si="5"/>
        <v/>
      </c>
      <c r="AH22" s="93" t="str">
        <f>IF(T22="","",VLOOKUP(T22,'11. Lists'!$B$47:$D$49,3,FALSE))</f>
        <v/>
      </c>
      <c r="AI22" s="94" t="str">
        <f>IF(D22="","",VLOOKUP(D22,'10. Condition and Temporal'!$B$6:$L$103,4,FALSE))</f>
        <v/>
      </c>
    </row>
    <row r="23" spans="2:35" s="25" customFormat="1" ht="15.75">
      <c r="B23" s="263"/>
      <c r="C23" s="549"/>
      <c r="D23" s="673"/>
      <c r="E23" s="674"/>
      <c r="F23" s="767"/>
      <c r="G23" s="768"/>
      <c r="H23" s="769"/>
      <c r="I23" s="303"/>
      <c r="J23" s="304"/>
      <c r="K23" s="305"/>
      <c r="L23" s="292" t="str">
        <f t="shared" si="0"/>
        <v/>
      </c>
      <c r="M23" s="299" t="str">
        <f t="shared" si="1"/>
        <v/>
      </c>
      <c r="N23" s="288" t="str">
        <f t="shared" si="2"/>
        <v/>
      </c>
      <c r="O23" s="69"/>
      <c r="P23" s="8"/>
      <c r="R23" s="655"/>
      <c r="T23" s="664" t="str">
        <f>IF(D23="","",VLOOKUP(D23,'9. All Habitats + Multipliers'!$C$4:$K$102,5,FALSE))</f>
        <v/>
      </c>
      <c r="U23" s="665"/>
      <c r="V23" s="342" t="str">
        <f>IF(T23="","",VLOOKUP(T23,'11. Lists'!$S$47:$U$50,2,FALSE))</f>
        <v/>
      </c>
      <c r="W23" s="93" t="str">
        <f>IF(D23="","",VLOOKUP(D23,'10. Condition and Temporal'!$B$6:$C$103,2,FALSE))</f>
        <v/>
      </c>
      <c r="X23" s="94" t="str">
        <f>IF(W23="","",VLOOKUP(W23,'11. Lists'!$F$47:$G$51,2,FALSE))</f>
        <v/>
      </c>
      <c r="Y23" s="48"/>
      <c r="Z23" s="48"/>
      <c r="AA23" s="48"/>
      <c r="AB23" s="183" t="str">
        <f t="shared" si="6"/>
        <v/>
      </c>
      <c r="AC23" s="95" t="str">
        <f>IF(AB23="","",VLOOKUP(AB23,'11. Lists'!$F$36:$H$38,2,FALSE))</f>
        <v/>
      </c>
      <c r="AD23" s="94" t="str">
        <f>IF(AB23="","",VLOOKUP(AB23,'11. Lists'!$F$36:$H$38,3,FALSE))</f>
        <v/>
      </c>
      <c r="AE23" s="296" t="str">
        <f t="shared" si="3"/>
        <v/>
      </c>
      <c r="AF23" s="297" t="str">
        <f t="shared" si="4"/>
        <v/>
      </c>
      <c r="AG23" s="96" t="str">
        <f t="shared" si="5"/>
        <v/>
      </c>
      <c r="AH23" s="93" t="str">
        <f>IF(T23="","",VLOOKUP(T23,'11. Lists'!$B$47:$D$49,3,FALSE))</f>
        <v/>
      </c>
      <c r="AI23" s="94" t="str">
        <f>IF(D23="","",VLOOKUP(D23,'10. Condition and Temporal'!$B$6:$L$103,4,FALSE))</f>
        <v/>
      </c>
    </row>
    <row r="24" spans="2:35" s="25" customFormat="1" ht="15.75">
      <c r="B24" s="263"/>
      <c r="C24" s="549"/>
      <c r="D24" s="673"/>
      <c r="E24" s="674"/>
      <c r="F24" s="767"/>
      <c r="G24" s="768"/>
      <c r="H24" s="769"/>
      <c r="I24" s="303"/>
      <c r="J24" s="304"/>
      <c r="K24" s="305"/>
      <c r="L24" s="292" t="str">
        <f t="shared" si="0"/>
        <v/>
      </c>
      <c r="M24" s="299" t="str">
        <f t="shared" si="1"/>
        <v/>
      </c>
      <c r="N24" s="288" t="str">
        <f t="shared" si="2"/>
        <v/>
      </c>
      <c r="O24" s="69"/>
      <c r="P24" s="8"/>
      <c r="R24" s="655"/>
      <c r="T24" s="664" t="str">
        <f>IF(D24="","",VLOOKUP(D24,'9. All Habitats + Multipliers'!$C$4:$K$102,5,FALSE))</f>
        <v/>
      </c>
      <c r="U24" s="665"/>
      <c r="V24" s="342" t="str">
        <f>IF(T24="","",VLOOKUP(T24,'11. Lists'!$S$47:$U$50,2,FALSE))</f>
        <v/>
      </c>
      <c r="W24" s="93" t="str">
        <f>IF(D24="","",VLOOKUP(D24,'10. Condition and Temporal'!$B$6:$C$103,2,FALSE))</f>
        <v/>
      </c>
      <c r="X24" s="94" t="str">
        <f>IF(W24="","",VLOOKUP(W24,'11. Lists'!$F$47:$G$51,2,FALSE))</f>
        <v/>
      </c>
      <c r="Y24" s="48"/>
      <c r="Z24" s="48"/>
      <c r="AA24" s="48"/>
      <c r="AB24" s="183" t="str">
        <f t="shared" si="6"/>
        <v/>
      </c>
      <c r="AC24" s="95" t="str">
        <f>IF(AB24="","",VLOOKUP(AB24,'11. Lists'!$F$36:$H$38,2,FALSE))</f>
        <v/>
      </c>
      <c r="AD24" s="94" t="str">
        <f>IF(AB24="","",VLOOKUP(AB24,'11. Lists'!$F$36:$H$38,3,FALSE))</f>
        <v/>
      </c>
      <c r="AE24" s="296" t="str">
        <f t="shared" si="3"/>
        <v/>
      </c>
      <c r="AF24" s="297" t="str">
        <f t="shared" si="4"/>
        <v/>
      </c>
      <c r="AG24" s="96" t="str">
        <f t="shared" si="5"/>
        <v/>
      </c>
      <c r="AH24" s="93" t="str">
        <f>IF(T24="","",VLOOKUP(T24,'11. Lists'!$B$47:$D$49,3,FALSE))</f>
        <v/>
      </c>
      <c r="AI24" s="94" t="str">
        <f>IF(D24="","",VLOOKUP(D24,'10. Condition and Temporal'!$B$6:$L$103,4,FALSE))</f>
        <v/>
      </c>
    </row>
    <row r="25" spans="2:35" s="25" customFormat="1" ht="15.75">
      <c r="B25" s="263"/>
      <c r="C25" s="549"/>
      <c r="D25" s="673"/>
      <c r="E25" s="674"/>
      <c r="F25" s="767"/>
      <c r="G25" s="768"/>
      <c r="H25" s="769"/>
      <c r="I25" s="303"/>
      <c r="J25" s="304"/>
      <c r="K25" s="305"/>
      <c r="L25" s="292" t="str">
        <f t="shared" si="0"/>
        <v/>
      </c>
      <c r="M25" s="299" t="str">
        <f t="shared" si="1"/>
        <v/>
      </c>
      <c r="N25" s="288" t="str">
        <f t="shared" si="2"/>
        <v/>
      </c>
      <c r="O25" s="69"/>
      <c r="P25" s="8"/>
      <c r="R25" s="655"/>
      <c r="T25" s="664" t="str">
        <f>IF(D25="","",VLOOKUP(D25,'9. All Habitats + Multipliers'!$C$4:$K$102,5,FALSE))</f>
        <v/>
      </c>
      <c r="U25" s="665"/>
      <c r="V25" s="342" t="str">
        <f>IF(T25="","",VLOOKUP(T25,'11. Lists'!$S$47:$U$50,2,FALSE))</f>
        <v/>
      </c>
      <c r="W25" s="93" t="str">
        <f>IF(D25="","",VLOOKUP(D25,'10. Condition and Temporal'!$B$6:$C$103,2,FALSE))</f>
        <v/>
      </c>
      <c r="X25" s="94" t="str">
        <f>IF(W25="","",VLOOKUP(W25,'11. Lists'!$F$47:$G$51,2,FALSE))</f>
        <v/>
      </c>
      <c r="Y25" s="48"/>
      <c r="Z25" s="48"/>
      <c r="AA25" s="48"/>
      <c r="AB25" s="183" t="str">
        <f t="shared" si="6"/>
        <v/>
      </c>
      <c r="AC25" s="95" t="str">
        <f>IF(AB25="","",VLOOKUP(AB25,'11. Lists'!$F$36:$H$38,2,FALSE))</f>
        <v/>
      </c>
      <c r="AD25" s="94" t="str">
        <f>IF(AB25="","",VLOOKUP(AB25,'11. Lists'!$F$36:$H$38,3,FALSE))</f>
        <v/>
      </c>
      <c r="AE25" s="296" t="str">
        <f t="shared" si="3"/>
        <v/>
      </c>
      <c r="AF25" s="297" t="str">
        <f t="shared" si="4"/>
        <v/>
      </c>
      <c r="AG25" s="96" t="str">
        <f t="shared" si="5"/>
        <v/>
      </c>
      <c r="AH25" s="93" t="str">
        <f>IF(T25="","",VLOOKUP(T25,'11. Lists'!$B$47:$D$49,3,FALSE))</f>
        <v/>
      </c>
      <c r="AI25" s="94" t="str">
        <f>IF(D25="","",VLOOKUP(D25,'10. Condition and Temporal'!$B$6:$L$103,4,FALSE))</f>
        <v/>
      </c>
    </row>
    <row r="26" spans="2:35" s="25" customFormat="1" ht="15.75">
      <c r="B26" s="263"/>
      <c r="C26" s="549"/>
      <c r="D26" s="673"/>
      <c r="E26" s="674"/>
      <c r="F26" s="767"/>
      <c r="G26" s="768"/>
      <c r="H26" s="769"/>
      <c r="I26" s="303"/>
      <c r="J26" s="304"/>
      <c r="K26" s="305"/>
      <c r="L26" s="292" t="str">
        <f t="shared" si="0"/>
        <v/>
      </c>
      <c r="M26" s="299" t="str">
        <f t="shared" si="1"/>
        <v/>
      </c>
      <c r="N26" s="288" t="str">
        <f t="shared" si="2"/>
        <v/>
      </c>
      <c r="O26" s="69"/>
      <c r="P26" s="8"/>
      <c r="R26" s="655"/>
      <c r="T26" s="664" t="str">
        <f>IF(D26="","",VLOOKUP(D26,'9. All Habitats + Multipliers'!$C$4:$K$102,5,FALSE))</f>
        <v/>
      </c>
      <c r="U26" s="665"/>
      <c r="V26" s="342" t="str">
        <f>IF(T26="","",VLOOKUP(T26,'11. Lists'!$S$47:$U$50,2,FALSE))</f>
        <v/>
      </c>
      <c r="W26" s="93" t="str">
        <f>IF(D26="","",VLOOKUP(D26,'10. Condition and Temporal'!$B$6:$C$103,2,FALSE))</f>
        <v/>
      </c>
      <c r="X26" s="94" t="str">
        <f>IF(W26="","",VLOOKUP(W26,'11. Lists'!$F$47:$G$51,2,FALSE))</f>
        <v/>
      </c>
      <c r="Y26" s="48"/>
      <c r="Z26" s="48"/>
      <c r="AA26" s="48"/>
      <c r="AB26" s="183" t="str">
        <f t="shared" si="6"/>
        <v/>
      </c>
      <c r="AC26" s="95" t="str">
        <f>IF(AB26="","",VLOOKUP(AB26,'11. Lists'!$F$36:$H$38,2,FALSE))</f>
        <v/>
      </c>
      <c r="AD26" s="94" t="str">
        <f>IF(AB26="","",VLOOKUP(AB26,'11. Lists'!$F$36:$H$38,3,FALSE))</f>
        <v/>
      </c>
      <c r="AE26" s="296" t="str">
        <f t="shared" si="3"/>
        <v/>
      </c>
      <c r="AF26" s="297" t="str">
        <f t="shared" si="4"/>
        <v/>
      </c>
      <c r="AG26" s="96" t="str">
        <f t="shared" si="5"/>
        <v/>
      </c>
      <c r="AH26" s="93" t="str">
        <f>IF(T26="","",VLOOKUP(T26,'11. Lists'!$B$47:$D$49,3,FALSE))</f>
        <v/>
      </c>
      <c r="AI26" s="94" t="str">
        <f>IF(D26="","",VLOOKUP(D26,'10. Condition and Temporal'!$B$6:$L$103,4,FALSE))</f>
        <v/>
      </c>
    </row>
    <row r="27" spans="2:35" s="25" customFormat="1" ht="15.75">
      <c r="B27" s="263"/>
      <c r="C27" s="549"/>
      <c r="D27" s="673"/>
      <c r="E27" s="674"/>
      <c r="F27" s="767"/>
      <c r="G27" s="768"/>
      <c r="H27" s="769"/>
      <c r="I27" s="303"/>
      <c r="J27" s="304"/>
      <c r="K27" s="305"/>
      <c r="L27" s="292" t="str">
        <f t="shared" si="0"/>
        <v/>
      </c>
      <c r="M27" s="299" t="str">
        <f t="shared" si="1"/>
        <v/>
      </c>
      <c r="N27" s="288" t="str">
        <f t="shared" si="2"/>
        <v/>
      </c>
      <c r="O27" s="69"/>
      <c r="P27" s="8"/>
      <c r="R27" s="655"/>
      <c r="T27" s="664" t="str">
        <f>IF(D27="","",VLOOKUP(D27,'9. All Habitats + Multipliers'!$C$4:$K$102,5,FALSE))</f>
        <v/>
      </c>
      <c r="U27" s="665"/>
      <c r="V27" s="342" t="str">
        <f>IF(T27="","",VLOOKUP(T27,'11. Lists'!$S$47:$U$50,2,FALSE))</f>
        <v/>
      </c>
      <c r="W27" s="93" t="str">
        <f>IF(D27="","",VLOOKUP(D27,'10. Condition and Temporal'!$B$6:$C$103,2,FALSE))</f>
        <v/>
      </c>
      <c r="X27" s="94" t="str">
        <f>IF(W27="","",VLOOKUP(W27,'11. Lists'!$F$47:$G$51,2,FALSE))</f>
        <v/>
      </c>
      <c r="Y27" s="48"/>
      <c r="Z27" s="48"/>
      <c r="AA27" s="48"/>
      <c r="AB27" s="183" t="str">
        <f t="shared" si="6"/>
        <v/>
      </c>
      <c r="AC27" s="95" t="str">
        <f>IF(AB27="","",VLOOKUP(AB27,'11. Lists'!$F$36:$H$38,2,FALSE))</f>
        <v/>
      </c>
      <c r="AD27" s="94" t="str">
        <f>IF(AB27="","",VLOOKUP(AB27,'11. Lists'!$F$36:$H$38,3,FALSE))</f>
        <v/>
      </c>
      <c r="AE27" s="296" t="str">
        <f t="shared" si="3"/>
        <v/>
      </c>
      <c r="AF27" s="297" t="str">
        <f t="shared" si="4"/>
        <v/>
      </c>
      <c r="AG27" s="96" t="str">
        <f t="shared" si="5"/>
        <v/>
      </c>
      <c r="AH27" s="93" t="str">
        <f>IF(T27="","",VLOOKUP(T27,'11. Lists'!$B$47:$D$49,3,FALSE))</f>
        <v/>
      </c>
      <c r="AI27" s="94" t="str">
        <f>IF(D27="","",VLOOKUP(D27,'10. Condition and Temporal'!$B$6:$L$103,4,FALSE))</f>
        <v/>
      </c>
    </row>
    <row r="28" spans="2:35" s="25" customFormat="1" ht="15.75">
      <c r="B28" s="263"/>
      <c r="C28" s="549"/>
      <c r="D28" s="673"/>
      <c r="E28" s="674"/>
      <c r="F28" s="767"/>
      <c r="G28" s="768"/>
      <c r="H28" s="769"/>
      <c r="I28" s="303"/>
      <c r="J28" s="304"/>
      <c r="K28" s="305"/>
      <c r="L28" s="292" t="str">
        <f t="shared" si="0"/>
        <v/>
      </c>
      <c r="M28" s="299" t="str">
        <f t="shared" si="1"/>
        <v/>
      </c>
      <c r="N28" s="288" t="str">
        <f t="shared" si="2"/>
        <v/>
      </c>
      <c r="O28" s="69"/>
      <c r="P28" s="8"/>
      <c r="R28" s="655"/>
      <c r="T28" s="664" t="str">
        <f>IF(D28="","",VLOOKUP(D28,'9. All Habitats + Multipliers'!$C$4:$K$102,5,FALSE))</f>
        <v/>
      </c>
      <c r="U28" s="665"/>
      <c r="V28" s="342" t="str">
        <f>IF(T28="","",VLOOKUP(T28,'11. Lists'!$S$47:$U$50,2,FALSE))</f>
        <v/>
      </c>
      <c r="W28" s="93" t="str">
        <f>IF(D28="","",VLOOKUP(D28,'10. Condition and Temporal'!$B$6:$C$103,2,FALSE))</f>
        <v/>
      </c>
      <c r="X28" s="94" t="str">
        <f>IF(W28="","",VLOOKUP(W28,'11. Lists'!$F$47:$G$51,2,FALSE))</f>
        <v/>
      </c>
      <c r="Y28" s="48"/>
      <c r="Z28" s="48"/>
      <c r="AA28" s="48"/>
      <c r="AB28" s="183" t="str">
        <f t="shared" si="6"/>
        <v/>
      </c>
      <c r="AC28" s="95" t="str">
        <f>IF(AB28="","",VLOOKUP(AB28,'11. Lists'!$F$36:$H$38,2,FALSE))</f>
        <v/>
      </c>
      <c r="AD28" s="94" t="str">
        <f>IF(AB28="","",VLOOKUP(AB28,'11. Lists'!$F$36:$H$38,3,FALSE))</f>
        <v/>
      </c>
      <c r="AE28" s="296" t="str">
        <f t="shared" si="3"/>
        <v/>
      </c>
      <c r="AF28" s="297" t="str">
        <f t="shared" si="4"/>
        <v/>
      </c>
      <c r="AG28" s="96" t="str">
        <f t="shared" si="5"/>
        <v/>
      </c>
      <c r="AH28" s="93" t="str">
        <f>IF(T28="","",VLOOKUP(T28,'11. Lists'!$B$47:$D$49,3,FALSE))</f>
        <v/>
      </c>
      <c r="AI28" s="94" t="str">
        <f>IF(D28="","",VLOOKUP(D28,'10. Condition and Temporal'!$B$6:$L$103,4,FALSE))</f>
        <v/>
      </c>
    </row>
    <row r="29" spans="2:35" s="25" customFormat="1" ht="15.75">
      <c r="B29" s="263"/>
      <c r="C29" s="551"/>
      <c r="D29" s="673"/>
      <c r="E29" s="674"/>
      <c r="F29" s="767"/>
      <c r="G29" s="768"/>
      <c r="H29" s="769"/>
      <c r="I29" s="303"/>
      <c r="J29" s="304"/>
      <c r="K29" s="305"/>
      <c r="L29" s="292" t="str">
        <f t="shared" si="0"/>
        <v/>
      </c>
      <c r="M29" s="299" t="str">
        <f t="shared" si="1"/>
        <v/>
      </c>
      <c r="N29" s="288" t="str">
        <f t="shared" si="2"/>
        <v/>
      </c>
      <c r="O29" s="69"/>
      <c r="P29" s="8"/>
      <c r="R29" s="655"/>
      <c r="T29" s="664" t="str">
        <f>IF(D29="","",VLOOKUP(D29,'9. All Habitats + Multipliers'!$C$4:$K$102,5,FALSE))</f>
        <v/>
      </c>
      <c r="U29" s="665"/>
      <c r="V29" s="342" t="str">
        <f>IF(T29="","",VLOOKUP(T29,'11. Lists'!$S$47:$U$50,2,FALSE))</f>
        <v/>
      </c>
      <c r="W29" s="93" t="str">
        <f>IF(D29="","",VLOOKUP(D29,'10. Condition and Temporal'!$B$6:$C$103,2,FALSE))</f>
        <v/>
      </c>
      <c r="X29" s="94" t="str">
        <f>IF(W29="","",VLOOKUP(W29,'11. Lists'!$F$47:$G$51,2,FALSE))</f>
        <v/>
      </c>
      <c r="Y29" s="48"/>
      <c r="Z29" s="48"/>
      <c r="AA29" s="48"/>
      <c r="AB29" s="183" t="str">
        <f t="shared" si="6"/>
        <v/>
      </c>
      <c r="AC29" s="95" t="str">
        <f>IF(AB29="","",VLOOKUP(AB29,'11. Lists'!$F$36:$H$38,2,FALSE))</f>
        <v/>
      </c>
      <c r="AD29" s="94" t="str">
        <f>IF(AB29="","",VLOOKUP(AB29,'11. Lists'!$F$36:$H$38,3,FALSE))</f>
        <v/>
      </c>
      <c r="AE29" s="296" t="str">
        <f t="shared" si="3"/>
        <v/>
      </c>
      <c r="AF29" s="297" t="str">
        <f t="shared" si="4"/>
        <v/>
      </c>
      <c r="AG29" s="96" t="str">
        <f t="shared" si="5"/>
        <v/>
      </c>
      <c r="AH29" s="93" t="str">
        <f>IF(T29="","",VLOOKUP(T29,'11. Lists'!$B$47:$D$49,3,FALSE))</f>
        <v/>
      </c>
      <c r="AI29" s="94" t="str">
        <f>IF(D29="","",VLOOKUP(D29,'10. Condition and Temporal'!$B$6:$L$103,4,FALSE))</f>
        <v/>
      </c>
    </row>
    <row r="30" spans="2:35" s="25" customFormat="1" ht="15.75">
      <c r="B30" s="264"/>
      <c r="C30" s="552"/>
      <c r="D30" s="677"/>
      <c r="E30" s="678"/>
      <c r="F30" s="902"/>
      <c r="G30" s="903"/>
      <c r="H30" s="904"/>
      <c r="I30" s="306"/>
      <c r="J30" s="307"/>
      <c r="K30" s="308"/>
      <c r="L30" s="290" t="str">
        <f t="shared" si="0"/>
        <v/>
      </c>
      <c r="M30" s="313" t="str">
        <f t="shared" si="1"/>
        <v/>
      </c>
      <c r="N30" s="291" t="str">
        <f t="shared" si="2"/>
        <v/>
      </c>
      <c r="O30" s="70"/>
      <c r="P30" s="4"/>
      <c r="R30" s="655"/>
      <c r="T30" s="664" t="str">
        <f>IF(D30="","",VLOOKUP(D30,'9. All Habitats + Multipliers'!$C$4:$K$102,5,FALSE))</f>
        <v/>
      </c>
      <c r="U30" s="665"/>
      <c r="V30" s="342" t="str">
        <f>IF(T30="","",VLOOKUP(T30,'11. Lists'!$S$47:$U$50,2,FALSE))</f>
        <v/>
      </c>
      <c r="W30" s="98" t="str">
        <f>IF(D30="","",VLOOKUP(D30,'10. Condition and Temporal'!$B$6:$C$103,2,FALSE))</f>
        <v/>
      </c>
      <c r="X30" s="99" t="str">
        <f>IF(W30="","",VLOOKUP(W30,'11. Lists'!$F$47:$G$51,2,FALSE))</f>
        <v/>
      </c>
      <c r="Y30" s="48"/>
      <c r="Z30" s="48"/>
      <c r="AA30" s="48"/>
      <c r="AB30" s="183" t="str">
        <f t="shared" si="6"/>
        <v/>
      </c>
      <c r="AC30" s="95" t="str">
        <f>IF(AB30="","",VLOOKUP(AB30,'11. Lists'!$F$36:$H$38,2,FALSE))</f>
        <v/>
      </c>
      <c r="AD30" s="94" t="str">
        <f>IF(AB30="","",VLOOKUP(AB30,'11. Lists'!$F$36:$H$38,3,FALSE))</f>
        <v/>
      </c>
      <c r="AE30" s="296" t="str">
        <f t="shared" si="3"/>
        <v/>
      </c>
      <c r="AF30" s="297"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0" t="s">
        <v>236</v>
      </c>
      <c r="I31" s="309">
        <f t="shared" ref="I31:N31" si="7">SUM(I11:I30)</f>
        <v>0</v>
      </c>
      <c r="J31" s="310">
        <f t="shared" si="7"/>
        <v>0</v>
      </c>
      <c r="K31" s="311">
        <f t="shared" si="7"/>
        <v>0</v>
      </c>
      <c r="L31" s="278">
        <f t="shared" si="7"/>
        <v>0</v>
      </c>
      <c r="M31" s="317">
        <f t="shared" si="7"/>
        <v>0</v>
      </c>
      <c r="N31" s="279">
        <f t="shared" si="7"/>
        <v>0</v>
      </c>
      <c r="R31" s="655"/>
    </row>
    <row r="32" spans="2:35" s="25" customFormat="1" ht="28.5">
      <c r="D32" s="89"/>
      <c r="E32" s="103"/>
      <c r="F32" s="103"/>
      <c r="G32" s="103"/>
      <c r="H32" s="287" t="s">
        <v>107</v>
      </c>
      <c r="I32" s="895" t="str">
        <f>IF(I31&lt;J31+K31,"Error - Lengths Retained and Enhanced Exceed Total Length ▲","Lengths Acceptable ✓")</f>
        <v>Lengths Acceptable ✓</v>
      </c>
      <c r="J32" s="895"/>
      <c r="K32" s="895"/>
      <c r="L32" s="895"/>
      <c r="M32" s="895"/>
      <c r="N32" s="896"/>
      <c r="O32" s="157">
        <f>IFERROR(FIND("Error",I32),0)</f>
        <v>0</v>
      </c>
      <c r="R32" s="104"/>
    </row>
    <row r="33" spans="1:76" s="25" customFormat="1" ht="28.5">
      <c r="D33" s="89"/>
      <c r="E33" s="103"/>
      <c r="F33" s="103"/>
      <c r="G33" s="103"/>
      <c r="H33" s="271" t="s">
        <v>108</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1:76" s="25" customFormat="1">
      <c r="D34" s="89"/>
      <c r="E34" s="103"/>
      <c r="F34" s="103"/>
      <c r="G34" s="103"/>
      <c r="H34" s="103"/>
      <c r="I34" s="103"/>
      <c r="J34" s="103"/>
      <c r="K34" s="103"/>
      <c r="L34" s="103"/>
      <c r="M34" s="103"/>
      <c r="N34" s="103"/>
      <c r="O34" s="103"/>
      <c r="R34" s="655" t="s">
        <v>65</v>
      </c>
    </row>
    <row r="35" spans="1:76" s="25" customFormat="1" ht="21">
      <c r="B35" s="57" t="s">
        <v>110</v>
      </c>
      <c r="D35" s="88"/>
      <c r="E35" s="103"/>
      <c r="F35" s="103"/>
      <c r="G35" s="103"/>
      <c r="I35" s="26"/>
      <c r="R35" s="655"/>
    </row>
    <row r="36" spans="1:76" s="25" customFormat="1" ht="15.75" customHeight="1">
      <c r="R36" s="655"/>
    </row>
    <row r="37" spans="1:76" s="25" customFormat="1" ht="16.149999999999999" customHeight="1">
      <c r="B37" s="736" t="s">
        <v>60</v>
      </c>
      <c r="C37" s="727"/>
      <c r="D37" s="739"/>
      <c r="E37" s="726" t="s">
        <v>111</v>
      </c>
      <c r="F37" s="785"/>
      <c r="G37" s="728"/>
      <c r="H37" s="785" t="s">
        <v>112</v>
      </c>
      <c r="I37" s="757" t="s">
        <v>237</v>
      </c>
      <c r="J37" s="758"/>
      <c r="K37" s="759"/>
      <c r="L37" s="726" t="s">
        <v>238</v>
      </c>
      <c r="M37" s="727"/>
      <c r="N37" s="728"/>
      <c r="O37" s="770" t="s">
        <v>78</v>
      </c>
      <c r="P37" s="728"/>
      <c r="R37" s="655"/>
      <c r="T37" s="683" t="s">
        <v>79</v>
      </c>
      <c r="U37" s="684"/>
      <c r="V37" s="915"/>
      <c r="W37" s="683" t="s">
        <v>80</v>
      </c>
      <c r="X37" s="685"/>
      <c r="Y37" s="764"/>
      <c r="Z37" s="764"/>
      <c r="AA37" s="764"/>
      <c r="AB37" s="763" t="s">
        <v>81</v>
      </c>
      <c r="AC37" s="684"/>
      <c r="AD37" s="685"/>
      <c r="AE37" s="683" t="s">
        <v>115</v>
      </c>
      <c r="AF37" s="685"/>
      <c r="AG37" s="683" t="s">
        <v>116</v>
      </c>
      <c r="AH37" s="685"/>
    </row>
    <row r="38" spans="1:76" s="25" customFormat="1" ht="31.5">
      <c r="B38" s="737"/>
      <c r="C38" s="196" t="s">
        <v>85</v>
      </c>
      <c r="D38" s="197" t="s">
        <v>117</v>
      </c>
      <c r="E38" s="86" t="s">
        <v>118</v>
      </c>
      <c r="F38" s="724" t="s">
        <v>119</v>
      </c>
      <c r="G38" s="725"/>
      <c r="H38" s="786"/>
      <c r="I38" s="760"/>
      <c r="J38" s="761"/>
      <c r="K38" s="762"/>
      <c r="L38" s="892"/>
      <c r="M38" s="893"/>
      <c r="N38" s="894"/>
      <c r="O38" s="195" t="s">
        <v>93</v>
      </c>
      <c r="P38" s="90" t="s">
        <v>94</v>
      </c>
      <c r="R38" s="655"/>
      <c r="T38" s="681" t="s">
        <v>95</v>
      </c>
      <c r="U38" s="682"/>
      <c r="V38" s="339" t="s">
        <v>96</v>
      </c>
      <c r="W38" s="91" t="s">
        <v>97</v>
      </c>
      <c r="X38" s="92" t="s">
        <v>96</v>
      </c>
      <c r="Y38" s="344"/>
      <c r="Z38" s="344"/>
      <c r="AA38" s="344"/>
      <c r="AB38" s="332" t="s">
        <v>81</v>
      </c>
      <c r="AC38" s="49" t="s">
        <v>81</v>
      </c>
      <c r="AD38" s="92" t="s">
        <v>98</v>
      </c>
      <c r="AE38" s="91" t="s">
        <v>120</v>
      </c>
      <c r="AF38" s="92" t="s">
        <v>121</v>
      </c>
      <c r="AG38" s="91" t="s">
        <v>122</v>
      </c>
      <c r="AH38" s="92" t="s">
        <v>123</v>
      </c>
    </row>
    <row r="39" spans="1:76" s="25" customFormat="1" ht="15.75">
      <c r="A39"/>
      <c r="B39" s="262"/>
      <c r="C39" s="549"/>
      <c r="D39" s="73"/>
      <c r="E39" s="105"/>
      <c r="F39" s="897"/>
      <c r="G39" s="898"/>
      <c r="H39" s="72"/>
      <c r="I39" s="719"/>
      <c r="J39" s="720"/>
      <c r="K39" s="720"/>
      <c r="L39" s="899"/>
      <c r="M39" s="900"/>
      <c r="N39" s="901"/>
      <c r="O39" s="209"/>
      <c r="P39" s="1"/>
      <c r="Q39" s="106"/>
      <c r="R39" s="655"/>
      <c r="S39"/>
      <c r="T39" s="664" t="str">
        <f>IF(D39="","",VLOOKUP(D39,'9. All Habitats + Multipliers'!$C$4:$K$102,5,FALSE))</f>
        <v/>
      </c>
      <c r="U39" s="665"/>
      <c r="V39" s="342" t="str">
        <f>IF(T39="","",VLOOKUP(T39,'11. Lists'!$S$47:$U$50,2,FALSE))</f>
        <v/>
      </c>
      <c r="W39" s="93" t="str">
        <f>IF(F39="","",F39)</f>
        <v/>
      </c>
      <c r="X39" s="94" t="str">
        <f>IF(W39="","",VLOOKUP(W39,'11. Lists'!$F$47:$G$51,2,FALSE))</f>
        <v/>
      </c>
      <c r="Y39" s="48"/>
      <c r="Z39" s="48"/>
      <c r="AA39" s="48"/>
      <c r="AB39" s="183"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row>
    <row r="40" spans="1:76" s="25" customFormat="1" ht="30">
      <c r="A40"/>
      <c r="B40" s="263">
        <v>1</v>
      </c>
      <c r="C40" s="549" t="s">
        <v>235</v>
      </c>
      <c r="D40" s="73" t="s">
        <v>253</v>
      </c>
      <c r="E40" s="105" t="s">
        <v>399</v>
      </c>
      <c r="F40" s="859" t="s">
        <v>399</v>
      </c>
      <c r="G40" s="860"/>
      <c r="H40" s="71" t="s">
        <v>125</v>
      </c>
      <c r="I40" s="719">
        <v>150</v>
      </c>
      <c r="J40" s="720"/>
      <c r="K40" s="720"/>
      <c r="L40" s="861">
        <f t="shared" ref="L40:L58" si="8">IF(D40="","",IFERROR(IF(I40="","",((I40/1000)*(V40*X40))*(AH40*AF40)*AD40),"This intervention is not permitted within the SSM ▲"))</f>
        <v>0.14474999999999999</v>
      </c>
      <c r="M40" s="862"/>
      <c r="N40" s="863"/>
      <c r="O40" s="74" t="s">
        <v>1074</v>
      </c>
      <c r="P40" s="12"/>
      <c r="Q40" s="106"/>
      <c r="R40" s="655"/>
      <c r="S40"/>
      <c r="T40" s="664" t="str">
        <f>IF(D40="","",VLOOKUP(D40,'9. All Habitats + Multipliers'!$C$4:$K$102,5,FALSE))</f>
        <v>V.Low</v>
      </c>
      <c r="U40" s="665"/>
      <c r="V40" s="342">
        <f>IF(T40="","",VLOOKUP(T40,'11. Lists'!$S$47:$U$50,2,FALSE))</f>
        <v>1</v>
      </c>
      <c r="W40" s="93" t="str">
        <f>IF(F40="","",F40)</f>
        <v>Poor</v>
      </c>
      <c r="X40" s="94">
        <f>IF(W40="","",VLOOKUP(W40,'11. Lists'!$F$47:$G$51,2,FALSE))</f>
        <v>1</v>
      </c>
      <c r="Y40" s="48"/>
      <c r="Z40" s="48"/>
      <c r="AA40" s="48"/>
      <c r="AB40" s="183" t="str">
        <f t="shared" ref="AB40:AB58" si="9">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v>
      </c>
      <c r="AF40" s="107">
        <f>IF(AE40="","",VLOOKUP(AE40,'11. Lists'!$I$47:$K$80,3,FALSE))</f>
        <v>0.96499999999999997</v>
      </c>
      <c r="AG40" s="93" t="str">
        <f>IF(D40="","",VLOOKUP(D40,'9. All Habitats + Multipliers'!$C$4:$K$102,7,FALSE))</f>
        <v>Low</v>
      </c>
      <c r="AH40" s="94">
        <f>IF(AG40="","",VLOOKUP(AG40,'11. Lists'!$J$35:$K$38,2,FALSE))</f>
        <v>1</v>
      </c>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row>
    <row r="41" spans="1:76" s="25" customFormat="1" ht="30">
      <c r="B41" s="263">
        <v>2</v>
      </c>
      <c r="C41" s="549" t="s">
        <v>235</v>
      </c>
      <c r="D41" s="73" t="s">
        <v>253</v>
      </c>
      <c r="E41" s="105" t="s">
        <v>399</v>
      </c>
      <c r="F41" s="859" t="s">
        <v>399</v>
      </c>
      <c r="G41" s="860"/>
      <c r="H41" s="71" t="s">
        <v>125</v>
      </c>
      <c r="I41" s="719">
        <v>70</v>
      </c>
      <c r="J41" s="720"/>
      <c r="K41" s="720"/>
      <c r="L41" s="861">
        <f t="shared" si="8"/>
        <v>6.7549999999999999E-2</v>
      </c>
      <c r="M41" s="862"/>
      <c r="N41" s="863"/>
      <c r="O41" s="74" t="s">
        <v>1075</v>
      </c>
      <c r="P41" s="12"/>
      <c r="Q41" s="106"/>
      <c r="R41" s="655"/>
      <c r="T41" s="664" t="str">
        <f>IF(D41="","",VLOOKUP(D41,'9. All Habitats + Multipliers'!$C$4:$K$102,5,FALSE))</f>
        <v>V.Low</v>
      </c>
      <c r="U41" s="665"/>
      <c r="V41" s="342">
        <f>IF(T41="","",VLOOKUP(T41,'11. Lists'!$S$47:$U$50,2,FALSE))</f>
        <v>1</v>
      </c>
      <c r="W41" s="93" t="str">
        <f>IF(F41="","",F41)</f>
        <v>Poor</v>
      </c>
      <c r="X41" s="94">
        <f>IF(W41="","",VLOOKUP(W41,'11. Lists'!$F$47:$G$51,2,FALSE))</f>
        <v>1</v>
      </c>
      <c r="Y41" s="48"/>
      <c r="Z41" s="48"/>
      <c r="AA41" s="48"/>
      <c r="AB41" s="183" t="str">
        <f t="shared" si="9"/>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1:76" s="25" customFormat="1" ht="15.75">
      <c r="B42" s="263"/>
      <c r="C42" s="549"/>
      <c r="D42" s="73"/>
      <c r="E42" s="105"/>
      <c r="F42" s="859"/>
      <c r="G42" s="860"/>
      <c r="H42" s="71"/>
      <c r="I42" s="719"/>
      <c r="J42" s="720"/>
      <c r="K42" s="720"/>
      <c r="L42" s="861" t="str">
        <f t="shared" si="8"/>
        <v/>
      </c>
      <c r="M42" s="862"/>
      <c r="N42" s="863"/>
      <c r="O42" s="74"/>
      <c r="P42" s="12"/>
      <c r="Q42" s="106"/>
      <c r="R42" s="655"/>
      <c r="T42" s="664" t="str">
        <f>IF(D42="","",VLOOKUP(D42,'9. All Habitats + Multipliers'!$C$4:$K$102,5,FALSE))</f>
        <v/>
      </c>
      <c r="U42" s="665"/>
      <c r="V42" s="342" t="str">
        <f>IF(T42="","",VLOOKUP(T42,'11. Lists'!$S$47:$U$50,2,FALSE))</f>
        <v/>
      </c>
      <c r="W42" s="93" t="str">
        <f>IF(F42="","",F42)</f>
        <v/>
      </c>
      <c r="X42" s="94" t="str">
        <f>IF(W42="","",VLOOKUP(W42,'11. Lists'!$F$47:$G$51,2,FALSE))</f>
        <v/>
      </c>
      <c r="Y42" s="48"/>
      <c r="Z42" s="48"/>
      <c r="AA42" s="48"/>
      <c r="AB42" s="183"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1:76" s="25" customFormat="1" ht="15.75">
      <c r="B43" s="263"/>
      <c r="C43" s="549"/>
      <c r="D43" s="73"/>
      <c r="E43" s="105"/>
      <c r="F43" s="859"/>
      <c r="G43" s="860"/>
      <c r="H43" s="71"/>
      <c r="I43" s="719"/>
      <c r="J43" s="720"/>
      <c r="K43" s="720"/>
      <c r="L43" s="861" t="str">
        <f t="shared" si="8"/>
        <v/>
      </c>
      <c r="M43" s="862"/>
      <c r="N43" s="863"/>
      <c r="O43" s="74"/>
      <c r="P43" s="12"/>
      <c r="R43" s="655"/>
      <c r="T43" s="664" t="str">
        <f>IF(D43="","",VLOOKUP(D43,'9. All Habitats + Multipliers'!$C$4:$K$102,5,FALSE))</f>
        <v/>
      </c>
      <c r="U43" s="665"/>
      <c r="V43" s="342" t="str">
        <f>IF(T43="","",VLOOKUP(T43,'11. Lists'!$S$47:$U$50,2,FALSE))</f>
        <v/>
      </c>
      <c r="W43" s="93" t="str">
        <f t="shared" ref="W43:W58" si="10">IF(F43="","",F43)</f>
        <v/>
      </c>
      <c r="X43" s="94" t="str">
        <f>IF(W43="","",VLOOKUP(W43,'11. Lists'!$F$47:$G$51,2,FALSE))</f>
        <v/>
      </c>
      <c r="Y43" s="48"/>
      <c r="Z43" s="48"/>
      <c r="AA43" s="48"/>
      <c r="AB43" s="183"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1:76" s="25" customFormat="1" ht="15.75">
      <c r="B44" s="263"/>
      <c r="C44" s="549"/>
      <c r="D44" s="73"/>
      <c r="E44" s="105"/>
      <c r="F44" s="859"/>
      <c r="G44" s="860"/>
      <c r="H44" s="71"/>
      <c r="I44" s="719"/>
      <c r="J44" s="720"/>
      <c r="K44" s="720"/>
      <c r="L44" s="861" t="str">
        <f t="shared" si="8"/>
        <v/>
      </c>
      <c r="M44" s="862"/>
      <c r="N44" s="863"/>
      <c r="O44" s="74"/>
      <c r="P44" s="12"/>
      <c r="R44" s="655"/>
      <c r="T44" s="664" t="str">
        <f>IF(D44="","",VLOOKUP(D44,'9. All Habitats + Multipliers'!$C$4:$K$102,5,FALSE))</f>
        <v/>
      </c>
      <c r="U44" s="665"/>
      <c r="V44" s="342" t="str">
        <f>IF(T44="","",VLOOKUP(T44,'11. Lists'!$S$47:$U$50,2,FALSE))</f>
        <v/>
      </c>
      <c r="W44" s="93" t="str">
        <f t="shared" si="10"/>
        <v/>
      </c>
      <c r="X44" s="94" t="str">
        <f>IF(W44="","",VLOOKUP(W44,'11. Lists'!$F$47:$G$51,2,FALSE))</f>
        <v/>
      </c>
      <c r="Y44" s="48"/>
      <c r="Z44" s="48"/>
      <c r="AA44" s="48"/>
      <c r="AB44" s="183"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1:76" s="25" customFormat="1" ht="15.75">
      <c r="B45" s="263"/>
      <c r="C45" s="549"/>
      <c r="D45" s="73"/>
      <c r="E45" s="105"/>
      <c r="F45" s="859"/>
      <c r="G45" s="860"/>
      <c r="H45" s="71"/>
      <c r="I45" s="719"/>
      <c r="J45" s="720"/>
      <c r="K45" s="720"/>
      <c r="L45" s="861" t="str">
        <f t="shared" si="8"/>
        <v/>
      </c>
      <c r="M45" s="862"/>
      <c r="N45" s="863"/>
      <c r="O45" s="74"/>
      <c r="P45" s="12"/>
      <c r="R45" s="655"/>
      <c r="T45" s="664" t="str">
        <f>IF(D45="","",VLOOKUP(D45,'9. All Habitats + Multipliers'!$C$4:$K$102,5,FALSE))</f>
        <v/>
      </c>
      <c r="U45" s="665"/>
      <c r="V45" s="342" t="str">
        <f>IF(T45="","",VLOOKUP(T45,'11. Lists'!$S$47:$U$50,2,FALSE))</f>
        <v/>
      </c>
      <c r="W45" s="93" t="str">
        <f t="shared" si="10"/>
        <v/>
      </c>
      <c r="X45" s="94" t="str">
        <f>IF(W45="","",VLOOKUP(W45,'11. Lists'!$F$47:$G$51,2,FALSE))</f>
        <v/>
      </c>
      <c r="Y45" s="48"/>
      <c r="Z45" s="48"/>
      <c r="AA45" s="48"/>
      <c r="AB45" s="183"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1:76" s="25" customFormat="1" ht="15.75">
      <c r="B46" s="263"/>
      <c r="C46" s="549"/>
      <c r="D46" s="73"/>
      <c r="E46" s="105"/>
      <c r="F46" s="859"/>
      <c r="G46" s="860"/>
      <c r="H46" s="71"/>
      <c r="I46" s="719"/>
      <c r="J46" s="720"/>
      <c r="K46" s="720"/>
      <c r="L46" s="861" t="str">
        <f t="shared" si="8"/>
        <v/>
      </c>
      <c r="M46" s="862"/>
      <c r="N46" s="863"/>
      <c r="O46" s="74"/>
      <c r="P46" s="12"/>
      <c r="R46" s="655"/>
      <c r="T46" s="664" t="str">
        <f>IF(D46="","",VLOOKUP(D46,'9. All Habitats + Multipliers'!$C$4:$K$102,5,FALSE))</f>
        <v/>
      </c>
      <c r="U46" s="665"/>
      <c r="V46" s="342" t="str">
        <f>IF(T46="","",VLOOKUP(T46,'11. Lists'!$S$47:$U$50,2,FALSE))</f>
        <v/>
      </c>
      <c r="W46" s="93" t="str">
        <f t="shared" si="10"/>
        <v/>
      </c>
      <c r="X46" s="94" t="str">
        <f>IF(W46="","",VLOOKUP(W46,'11. Lists'!$F$47:$G$51,2,FALSE))</f>
        <v/>
      </c>
      <c r="Y46" s="48"/>
      <c r="Z46" s="48"/>
      <c r="AA46" s="48"/>
      <c r="AB46" s="183"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1:76" s="25" customFormat="1" ht="15.75">
      <c r="B47" s="263"/>
      <c r="C47" s="549"/>
      <c r="D47" s="73"/>
      <c r="E47" s="105"/>
      <c r="F47" s="859"/>
      <c r="G47" s="860"/>
      <c r="H47" s="71"/>
      <c r="I47" s="719"/>
      <c r="J47" s="720"/>
      <c r="K47" s="720"/>
      <c r="L47" s="861" t="str">
        <f t="shared" si="8"/>
        <v/>
      </c>
      <c r="M47" s="862"/>
      <c r="N47" s="863"/>
      <c r="O47" s="74"/>
      <c r="P47" s="12"/>
      <c r="R47" s="655"/>
      <c r="T47" s="664" t="str">
        <f>IF(D47="","",VLOOKUP(D47,'9. All Habitats + Multipliers'!$C$4:$K$102,5,FALSE))</f>
        <v/>
      </c>
      <c r="U47" s="665"/>
      <c r="V47" s="342" t="str">
        <f>IF(T47="","",VLOOKUP(T47,'11. Lists'!$S$47:$U$50,2,FALSE))</f>
        <v/>
      </c>
      <c r="W47" s="93" t="str">
        <f t="shared" si="10"/>
        <v/>
      </c>
      <c r="X47" s="94" t="str">
        <f>IF(W47="","",VLOOKUP(W47,'11. Lists'!$F$47:$G$51,2,FALSE))</f>
        <v/>
      </c>
      <c r="Y47" s="48"/>
      <c r="Z47" s="48"/>
      <c r="AA47" s="48"/>
      <c r="AB47" s="183"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1:76" s="25" customFormat="1" ht="15.75">
      <c r="B48" s="263"/>
      <c r="C48" s="550"/>
      <c r="D48" s="73"/>
      <c r="E48" s="105"/>
      <c r="F48" s="859"/>
      <c r="G48" s="860"/>
      <c r="H48" s="71"/>
      <c r="I48" s="719"/>
      <c r="J48" s="720"/>
      <c r="K48" s="720"/>
      <c r="L48" s="861" t="str">
        <f t="shared" si="8"/>
        <v/>
      </c>
      <c r="M48" s="862"/>
      <c r="N48" s="863"/>
      <c r="O48" s="74"/>
      <c r="P48" s="12"/>
      <c r="R48" s="655"/>
      <c r="T48" s="664" t="str">
        <f>IF(D48="","",VLOOKUP(D48,'9. All Habitats + Multipliers'!$C$4:$K$102,5,FALSE))</f>
        <v/>
      </c>
      <c r="U48" s="665"/>
      <c r="V48" s="342" t="str">
        <f>IF(T48="","",VLOOKUP(T48,'11. Lists'!$S$47:$U$50,2,FALSE))</f>
        <v/>
      </c>
      <c r="W48" s="93" t="str">
        <f t="shared" si="10"/>
        <v/>
      </c>
      <c r="X48" s="94" t="str">
        <f>IF(W48="","",VLOOKUP(W48,'11. Lists'!$F$47:$G$51,2,FALSE))</f>
        <v/>
      </c>
      <c r="Y48" s="48"/>
      <c r="Z48" s="48"/>
      <c r="AA48" s="48"/>
      <c r="AB48" s="183"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5.75">
      <c r="B49" s="263"/>
      <c r="C49" s="549"/>
      <c r="D49" s="73"/>
      <c r="E49" s="105"/>
      <c r="F49" s="859"/>
      <c r="G49" s="860"/>
      <c r="H49" s="71"/>
      <c r="I49" s="719"/>
      <c r="J49" s="720"/>
      <c r="K49" s="720"/>
      <c r="L49" s="861" t="str">
        <f t="shared" si="8"/>
        <v/>
      </c>
      <c r="M49" s="862"/>
      <c r="N49" s="863"/>
      <c r="O49" s="74"/>
      <c r="P49" s="12"/>
      <c r="R49" s="655"/>
      <c r="T49" s="664" t="str">
        <f>IF(D49="","",VLOOKUP(D49,'9. All Habitats + Multipliers'!$C$4:$K$102,5,FALSE))</f>
        <v/>
      </c>
      <c r="U49" s="665"/>
      <c r="V49" s="342" t="str">
        <f>IF(T49="","",VLOOKUP(T49,'11. Lists'!$S$47:$U$50,2,FALSE))</f>
        <v/>
      </c>
      <c r="W49" s="93" t="str">
        <f t="shared" si="10"/>
        <v/>
      </c>
      <c r="X49" s="94" t="str">
        <f>IF(W49="","",VLOOKUP(W49,'11. Lists'!$F$47:$G$51,2,FALSE))</f>
        <v/>
      </c>
      <c r="Y49" s="48"/>
      <c r="Z49" s="48"/>
      <c r="AA49" s="48"/>
      <c r="AB49" s="183"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3"/>
      <c r="C50" s="549"/>
      <c r="D50" s="73"/>
      <c r="E50" s="105"/>
      <c r="F50" s="859"/>
      <c r="G50" s="860"/>
      <c r="H50" s="71"/>
      <c r="I50" s="719"/>
      <c r="J50" s="720"/>
      <c r="K50" s="720"/>
      <c r="L50" s="861" t="str">
        <f t="shared" si="8"/>
        <v/>
      </c>
      <c r="M50" s="862"/>
      <c r="N50" s="863"/>
      <c r="O50" s="74" t="s">
        <v>1076</v>
      </c>
      <c r="P50" s="12"/>
      <c r="R50" s="655"/>
      <c r="T50" s="664" t="str">
        <f>IF(D50="","",VLOOKUP(D50,'9. All Habitats + Multipliers'!$C$4:$K$102,5,FALSE))</f>
        <v/>
      </c>
      <c r="U50" s="665"/>
      <c r="V50" s="342" t="str">
        <f>IF(T50="","",VLOOKUP(T50,'11. Lists'!$S$47:$U$50,2,FALSE))</f>
        <v/>
      </c>
      <c r="W50" s="93" t="str">
        <f t="shared" si="10"/>
        <v/>
      </c>
      <c r="X50" s="94" t="str">
        <f>IF(W50="","",VLOOKUP(W50,'11. Lists'!$F$47:$G$51,2,FALSE))</f>
        <v/>
      </c>
      <c r="Y50" s="48"/>
      <c r="Z50" s="48"/>
      <c r="AA50" s="48"/>
      <c r="AB50" s="183"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5.75">
      <c r="B51" s="263"/>
      <c r="C51" s="549"/>
      <c r="D51" s="73"/>
      <c r="E51" s="105"/>
      <c r="F51" s="859"/>
      <c r="G51" s="860"/>
      <c r="H51" s="71"/>
      <c r="I51" s="719"/>
      <c r="J51" s="720"/>
      <c r="K51" s="720"/>
      <c r="L51" s="861" t="str">
        <f t="shared" si="8"/>
        <v/>
      </c>
      <c r="M51" s="862"/>
      <c r="N51" s="863"/>
      <c r="O51" s="74"/>
      <c r="P51" s="12"/>
      <c r="R51" s="655"/>
      <c r="T51" s="664" t="str">
        <f>IF(D51="","",VLOOKUP(D51,'9. All Habitats + Multipliers'!$C$4:$K$102,5,FALSE))</f>
        <v/>
      </c>
      <c r="U51" s="665"/>
      <c r="V51" s="342" t="str">
        <f>IF(T51="","",VLOOKUP(T51,'11. Lists'!$S$47:$U$50,2,FALSE))</f>
        <v/>
      </c>
      <c r="W51" s="93" t="str">
        <f t="shared" si="10"/>
        <v/>
      </c>
      <c r="X51" s="94" t="str">
        <f>IF(W51="","",VLOOKUP(W51,'11. Lists'!$F$47:$G$51,2,FALSE))</f>
        <v/>
      </c>
      <c r="Y51" s="48"/>
      <c r="Z51" s="48"/>
      <c r="AA51" s="48"/>
      <c r="AB51" s="183"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5.75">
      <c r="B52" s="263"/>
      <c r="C52" s="549"/>
      <c r="D52" s="73"/>
      <c r="E52" s="105"/>
      <c r="F52" s="859"/>
      <c r="G52" s="860"/>
      <c r="H52" s="71"/>
      <c r="I52" s="719"/>
      <c r="J52" s="720"/>
      <c r="K52" s="720"/>
      <c r="L52" s="861" t="str">
        <f t="shared" si="8"/>
        <v/>
      </c>
      <c r="M52" s="862"/>
      <c r="N52" s="863"/>
      <c r="O52" s="74"/>
      <c r="P52" s="12"/>
      <c r="R52" s="655"/>
      <c r="T52" s="664" t="str">
        <f>IF(D52="","",VLOOKUP(D52,'9. All Habitats + Multipliers'!$C$4:$K$102,5,FALSE))</f>
        <v/>
      </c>
      <c r="U52" s="665"/>
      <c r="V52" s="342" t="str">
        <f>IF(T52="","",VLOOKUP(T52,'11. Lists'!$S$47:$U$50,2,FALSE))</f>
        <v/>
      </c>
      <c r="W52" s="93" t="str">
        <f t="shared" si="10"/>
        <v/>
      </c>
      <c r="X52" s="94" t="str">
        <f>IF(W52="","",VLOOKUP(W52,'11. Lists'!$F$47:$G$51,2,FALSE))</f>
        <v/>
      </c>
      <c r="Y52" s="48"/>
      <c r="Z52" s="48"/>
      <c r="AA52" s="48"/>
      <c r="AB52" s="183"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5.75">
      <c r="B53" s="263"/>
      <c r="C53" s="549"/>
      <c r="D53" s="73"/>
      <c r="E53" s="105"/>
      <c r="F53" s="859"/>
      <c r="G53" s="860"/>
      <c r="H53" s="71"/>
      <c r="I53" s="719"/>
      <c r="J53" s="720"/>
      <c r="K53" s="720"/>
      <c r="L53" s="861" t="str">
        <f t="shared" si="8"/>
        <v/>
      </c>
      <c r="M53" s="862"/>
      <c r="N53" s="863"/>
      <c r="O53" s="74"/>
      <c r="P53" s="12"/>
      <c r="R53" s="655"/>
      <c r="T53" s="664" t="str">
        <f>IF(D53="","",VLOOKUP(D53,'9. All Habitats + Multipliers'!$C$4:$K$102,5,FALSE))</f>
        <v/>
      </c>
      <c r="U53" s="665"/>
      <c r="V53" s="342" t="str">
        <f>IF(T53="","",VLOOKUP(T53,'11. Lists'!$S$47:$U$50,2,FALSE))</f>
        <v/>
      </c>
      <c r="W53" s="93" t="str">
        <f t="shared" si="10"/>
        <v/>
      </c>
      <c r="X53" s="94" t="str">
        <f>IF(W53="","",VLOOKUP(W53,'11. Lists'!$F$47:$G$51,2,FALSE))</f>
        <v/>
      </c>
      <c r="Y53" s="48"/>
      <c r="Z53" s="48"/>
      <c r="AA53" s="48"/>
      <c r="AB53" s="183"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3"/>
      <c r="C54" s="549"/>
      <c r="D54" s="73"/>
      <c r="E54" s="105"/>
      <c r="F54" s="859"/>
      <c r="G54" s="860"/>
      <c r="H54" s="71"/>
      <c r="I54" s="719"/>
      <c r="J54" s="720"/>
      <c r="K54" s="720"/>
      <c r="L54" s="861" t="str">
        <f t="shared" si="8"/>
        <v/>
      </c>
      <c r="M54" s="862"/>
      <c r="N54" s="863"/>
      <c r="O54" s="74" t="s">
        <v>1076</v>
      </c>
      <c r="P54" s="12"/>
      <c r="R54" s="655"/>
      <c r="T54" s="664" t="str">
        <f>IF(D54="","",VLOOKUP(D54,'9. All Habitats + Multipliers'!$C$4:$K$102,5,FALSE))</f>
        <v/>
      </c>
      <c r="U54" s="665"/>
      <c r="V54" s="342" t="str">
        <f>IF(T54="","",VLOOKUP(T54,'11. Lists'!$S$47:$U$50,2,FALSE))</f>
        <v/>
      </c>
      <c r="W54" s="93" t="str">
        <f t="shared" si="10"/>
        <v/>
      </c>
      <c r="X54" s="94" t="str">
        <f>IF(W54="","",VLOOKUP(W54,'11. Lists'!$F$47:$G$51,2,FALSE))</f>
        <v/>
      </c>
      <c r="Y54" s="48"/>
      <c r="Z54" s="48"/>
      <c r="AA54" s="48"/>
      <c r="AB54" s="183"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5.75">
      <c r="B55" s="263"/>
      <c r="C55" s="549"/>
      <c r="D55" s="73"/>
      <c r="E55" s="105"/>
      <c r="F55" s="859"/>
      <c r="G55" s="860"/>
      <c r="H55" s="71"/>
      <c r="I55" s="719"/>
      <c r="J55" s="720"/>
      <c r="K55" s="720"/>
      <c r="L55" s="861" t="str">
        <f t="shared" si="8"/>
        <v/>
      </c>
      <c r="M55" s="862"/>
      <c r="N55" s="863"/>
      <c r="O55" s="74"/>
      <c r="P55" s="12"/>
      <c r="R55" s="655"/>
      <c r="T55" s="664" t="str">
        <f>IF(D55="","",VLOOKUP(D55,'9. All Habitats + Multipliers'!$C$4:$K$102,5,FALSE))</f>
        <v/>
      </c>
      <c r="U55" s="665"/>
      <c r="V55" s="342" t="str">
        <f>IF(T55="","",VLOOKUP(T55,'11. Lists'!$S$47:$U$50,2,FALSE))</f>
        <v/>
      </c>
      <c r="W55" s="93" t="str">
        <f t="shared" si="10"/>
        <v/>
      </c>
      <c r="X55" s="94" t="str">
        <f>IF(W55="","",VLOOKUP(W55,'11. Lists'!$F$47:$G$51,2,FALSE))</f>
        <v/>
      </c>
      <c r="Y55" s="48"/>
      <c r="Z55" s="48"/>
      <c r="AA55" s="48"/>
      <c r="AB55" s="183"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5.75">
      <c r="B56" s="263"/>
      <c r="C56" s="549"/>
      <c r="D56" s="73"/>
      <c r="E56" s="105"/>
      <c r="F56" s="859"/>
      <c r="G56" s="860"/>
      <c r="H56" s="71"/>
      <c r="I56" s="719"/>
      <c r="J56" s="720"/>
      <c r="K56" s="720"/>
      <c r="L56" s="861" t="str">
        <f t="shared" si="8"/>
        <v/>
      </c>
      <c r="M56" s="862"/>
      <c r="N56" s="863"/>
      <c r="O56" s="74"/>
      <c r="P56" s="12"/>
      <c r="R56" s="655"/>
      <c r="T56" s="664" t="str">
        <f>IF(D56="","",VLOOKUP(D56,'9. All Habitats + Multipliers'!$C$4:$K$102,5,FALSE))</f>
        <v/>
      </c>
      <c r="U56" s="665"/>
      <c r="V56" s="342" t="str">
        <f>IF(T56="","",VLOOKUP(T56,'11. Lists'!$S$47:$U$50,2,FALSE))</f>
        <v/>
      </c>
      <c r="W56" s="93" t="str">
        <f t="shared" si="10"/>
        <v/>
      </c>
      <c r="X56" s="94" t="str">
        <f>IF(W56="","",VLOOKUP(W56,'11. Lists'!$F$47:$G$51,2,FALSE))</f>
        <v/>
      </c>
      <c r="Y56" s="48"/>
      <c r="Z56" s="48"/>
      <c r="AA56" s="48"/>
      <c r="AB56" s="183"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5.75">
      <c r="B57" s="263"/>
      <c r="C57" s="551"/>
      <c r="D57" s="73"/>
      <c r="E57" s="105"/>
      <c r="F57" s="859"/>
      <c r="G57" s="860"/>
      <c r="H57" s="71"/>
      <c r="I57" s="719"/>
      <c r="J57" s="720"/>
      <c r="K57" s="720"/>
      <c r="L57" s="861" t="str">
        <f t="shared" si="8"/>
        <v/>
      </c>
      <c r="M57" s="862"/>
      <c r="N57" s="863"/>
      <c r="O57" s="74"/>
      <c r="P57" s="12"/>
      <c r="R57" s="655"/>
      <c r="T57" s="664" t="str">
        <f>IF(D57="","",VLOOKUP(D57,'9. All Habitats + Multipliers'!$C$4:$K$102,5,FALSE))</f>
        <v/>
      </c>
      <c r="U57" s="665"/>
      <c r="V57" s="342" t="str">
        <f>IF(T57="","",VLOOKUP(T57,'11. Lists'!$S$47:$U$50,2,FALSE))</f>
        <v/>
      </c>
      <c r="W57" s="93" t="str">
        <f t="shared" si="10"/>
        <v/>
      </c>
      <c r="X57" s="94" t="str">
        <f>IF(W57="","",VLOOKUP(W57,'11. Lists'!$F$47:$G$51,2,FALSE))</f>
        <v/>
      </c>
      <c r="Y57" s="48"/>
      <c r="Z57" s="48"/>
      <c r="AA57" s="48"/>
      <c r="AB57" s="183"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5.75">
      <c r="B58" s="264"/>
      <c r="C58" s="552"/>
      <c r="D58" s="135"/>
      <c r="E58" s="136"/>
      <c r="F58" s="885"/>
      <c r="G58" s="886"/>
      <c r="H58" s="79"/>
      <c r="I58" s="887"/>
      <c r="J58" s="888"/>
      <c r="K58" s="888"/>
      <c r="L58" s="889" t="str">
        <f t="shared" si="8"/>
        <v/>
      </c>
      <c r="M58" s="890"/>
      <c r="N58" s="891"/>
      <c r="O58" s="75"/>
      <c r="P58" s="14"/>
      <c r="R58" s="655"/>
      <c r="T58" s="664" t="str">
        <f>IF(D58="","",VLOOKUP(D58,'9. All Habitats + Multipliers'!$C$4:$K$102,5,FALSE))</f>
        <v/>
      </c>
      <c r="U58" s="665"/>
      <c r="V58" s="342" t="str">
        <f>IF(T58="","",VLOOKUP(T58,'11. Lists'!$S$47:$U$50,2,FALSE))</f>
        <v/>
      </c>
      <c r="W58" s="98" t="str">
        <f t="shared" si="10"/>
        <v/>
      </c>
      <c r="X58" s="99" t="str">
        <f>IF(W58="","",VLOOKUP(W58,'11. Lists'!$F$47:$G$51,2,FALSE))</f>
        <v/>
      </c>
      <c r="Y58" s="48"/>
      <c r="Z58" s="48"/>
      <c r="AA58" s="48"/>
      <c r="AB58" s="183"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c r="B59"/>
      <c r="C59"/>
      <c r="D59"/>
      <c r="E59"/>
      <c r="F59"/>
      <c r="G59"/>
      <c r="H59" s="268"/>
      <c r="I59" s="818">
        <f>SUM(I40:I58)</f>
        <v>220</v>
      </c>
      <c r="J59" s="819"/>
      <c r="K59" s="820"/>
      <c r="L59" s="864">
        <f>SUM(L40:L58)</f>
        <v>0.21229999999999999</v>
      </c>
      <c r="M59" s="928">
        <f>SUM(M40:N58)</f>
        <v>0</v>
      </c>
      <c r="N59" s="865"/>
      <c r="O59"/>
      <c r="R59" s="655"/>
    </row>
    <row r="60" spans="1:73" s="25" customFormat="1">
      <c r="H60" s="271" t="s">
        <v>107</v>
      </c>
      <c r="I60" s="905" t="str">
        <f>IF(I59&lt;5000,"Lengths Acceptable ✓",IF(I59&gt;=5000,"Length Exceeds Length Appropriate for Small Sites Metric ▲"))</f>
        <v>Lengths Acceptable ✓</v>
      </c>
      <c r="J60" s="905"/>
      <c r="K60" s="905"/>
      <c r="L60" s="905"/>
      <c r="M60" s="905"/>
      <c r="N60" s="906"/>
      <c r="R60" s="655"/>
    </row>
    <row r="61" spans="1:73" s="25" customFormat="1">
      <c r="R61" s="655"/>
      <c r="BA61" s="50" t="s">
        <v>127</v>
      </c>
    </row>
    <row r="62" spans="1:73" s="25" customFormat="1" ht="21">
      <c r="B62" s="57" t="s">
        <v>128</v>
      </c>
      <c r="D62" s="88"/>
      <c r="H62" s="26"/>
      <c r="R62" s="655"/>
      <c r="BA62" s="50" t="s">
        <v>129</v>
      </c>
    </row>
    <row r="63" spans="1:73" s="25" customFormat="1">
      <c r="A63" s="879"/>
      <c r="R63" s="655"/>
    </row>
    <row r="64" spans="1:73" s="25" customFormat="1" ht="16.149999999999999" customHeight="1">
      <c r="A64" s="879"/>
      <c r="B64" s="687" t="s">
        <v>130</v>
      </c>
      <c r="C64" s="683" t="s">
        <v>131</v>
      </c>
      <c r="D64" s="685"/>
      <c r="E64" s="726" t="s">
        <v>132</v>
      </c>
      <c r="F64" s="727"/>
      <c r="G64" s="728"/>
      <c r="H64" s="669" t="s">
        <v>133</v>
      </c>
      <c r="I64" s="669" t="s">
        <v>239</v>
      </c>
      <c r="J64" s="814" t="s">
        <v>135</v>
      </c>
      <c r="K64" s="815"/>
      <c r="L64" s="763" t="s">
        <v>136</v>
      </c>
      <c r="M64" s="684" t="s">
        <v>137</v>
      </c>
      <c r="N64" s="685"/>
      <c r="O64" s="749" t="s">
        <v>78</v>
      </c>
      <c r="P64" s="750"/>
      <c r="R64" s="655"/>
      <c r="T64" s="662" t="s">
        <v>138</v>
      </c>
      <c r="U64" s="663"/>
      <c r="V64" s="663"/>
      <c r="W64" s="663"/>
      <c r="X64" s="663"/>
      <c r="Y64" s="663"/>
      <c r="Z64" s="663"/>
      <c r="AA64" s="663"/>
      <c r="AB64" s="663"/>
      <c r="AC64" s="663"/>
      <c r="AD64" s="668"/>
      <c r="AE64" s="669" t="s">
        <v>139</v>
      </c>
      <c r="AF64" s="662" t="s">
        <v>140</v>
      </c>
      <c r="AG64" s="663"/>
      <c r="AH64" s="663"/>
      <c r="AI64" s="663"/>
      <c r="AJ64" s="927"/>
      <c r="AK64" s="927"/>
      <c r="AL64" s="927"/>
      <c r="AM64" s="927"/>
      <c r="AN64" s="927"/>
      <c r="AO64" s="663"/>
      <c r="AP64" s="668"/>
      <c r="AQ64" s="671" t="s">
        <v>141</v>
      </c>
      <c r="AR64" s="662" t="s">
        <v>140</v>
      </c>
      <c r="AS64" s="663"/>
      <c r="AT64" s="663"/>
      <c r="AU64" s="663"/>
      <c r="AV64" s="663"/>
      <c r="AW64" s="663"/>
      <c r="AX64" s="668"/>
      <c r="BA64" s="154" t="s">
        <v>142</v>
      </c>
      <c r="BB64" s="184">
        <f>COUNTIF(BB66:BB85,"?*")</f>
        <v>0</v>
      </c>
      <c r="BC64" s="184">
        <f t="shared" ref="BC64:BU64" si="11">COUNTIF(BC66:BC85,"?*")</f>
        <v>0</v>
      </c>
      <c r="BD64" s="184">
        <f t="shared" si="11"/>
        <v>0</v>
      </c>
      <c r="BE64" s="184">
        <f t="shared" si="11"/>
        <v>0</v>
      </c>
      <c r="BF64" s="184">
        <f t="shared" si="11"/>
        <v>0</v>
      </c>
      <c r="BG64" s="184">
        <f t="shared" si="11"/>
        <v>0</v>
      </c>
      <c r="BH64" s="184">
        <f t="shared" si="11"/>
        <v>0</v>
      </c>
      <c r="BI64" s="184">
        <f t="shared" si="11"/>
        <v>0</v>
      </c>
      <c r="BJ64" s="184">
        <f t="shared" si="11"/>
        <v>0</v>
      </c>
      <c r="BK64" s="184">
        <f t="shared" si="11"/>
        <v>0</v>
      </c>
      <c r="BL64" s="184">
        <f t="shared" si="11"/>
        <v>0</v>
      </c>
      <c r="BM64" s="184">
        <f t="shared" si="11"/>
        <v>0</v>
      </c>
      <c r="BN64" s="184">
        <f t="shared" si="11"/>
        <v>0</v>
      </c>
      <c r="BO64" s="184">
        <f t="shared" si="11"/>
        <v>0</v>
      </c>
      <c r="BP64" s="184">
        <f t="shared" si="11"/>
        <v>0</v>
      </c>
      <c r="BQ64" s="184">
        <f t="shared" si="11"/>
        <v>0</v>
      </c>
      <c r="BR64" s="184">
        <f t="shared" si="11"/>
        <v>0</v>
      </c>
      <c r="BS64" s="184">
        <f t="shared" si="11"/>
        <v>0</v>
      </c>
      <c r="BT64" s="184">
        <f t="shared" si="11"/>
        <v>0</v>
      </c>
      <c r="BU64" s="184">
        <f t="shared" si="11"/>
        <v>0</v>
      </c>
    </row>
    <row r="65" spans="1:76" s="25" customFormat="1" ht="41.65" customHeight="1">
      <c r="A65" s="879"/>
      <c r="B65" s="688"/>
      <c r="C65" s="210" t="s">
        <v>143</v>
      </c>
      <c r="D65" s="90" t="s">
        <v>144</v>
      </c>
      <c r="E65" s="86" t="s">
        <v>145</v>
      </c>
      <c r="F65" s="724" t="s">
        <v>146</v>
      </c>
      <c r="G65" s="725"/>
      <c r="H65" s="670"/>
      <c r="I65" s="670"/>
      <c r="J65" s="816"/>
      <c r="K65" s="817"/>
      <c r="L65" s="869"/>
      <c r="M65" s="841"/>
      <c r="N65" s="842"/>
      <c r="O65" s="195" t="s">
        <v>93</v>
      </c>
      <c r="P65" s="90" t="s">
        <v>94</v>
      </c>
      <c r="R65" s="655"/>
      <c r="T65" s="330" t="s">
        <v>147</v>
      </c>
      <c r="U65" s="349" t="s">
        <v>148</v>
      </c>
      <c r="V65" s="348" t="s">
        <v>149</v>
      </c>
      <c r="W65" s="349" t="s">
        <v>150</v>
      </c>
      <c r="X65" s="352" t="s">
        <v>151</v>
      </c>
      <c r="Y65" s="353"/>
      <c r="Z65" s="353"/>
      <c r="AA65" s="353"/>
      <c r="AB65" s="352" t="s">
        <v>152</v>
      </c>
      <c r="AC65" s="351" t="s">
        <v>153</v>
      </c>
      <c r="AD65" s="348" t="s">
        <v>154</v>
      </c>
      <c r="AE65" s="670"/>
      <c r="AF65" s="331" t="s">
        <v>147</v>
      </c>
      <c r="AG65" s="349" t="s">
        <v>95</v>
      </c>
      <c r="AH65" s="348" t="s">
        <v>96</v>
      </c>
      <c r="AI65" s="331" t="s">
        <v>97</v>
      </c>
      <c r="AJ65" s="355" t="s">
        <v>96</v>
      </c>
      <c r="AK65" s="364"/>
      <c r="AL65" s="364"/>
      <c r="AM65" s="364"/>
      <c r="AN65" s="356" t="s">
        <v>81</v>
      </c>
      <c r="AO65" s="350" t="s">
        <v>81</v>
      </c>
      <c r="AP65" s="348" t="s">
        <v>98</v>
      </c>
      <c r="AQ65" s="926"/>
      <c r="AR65" s="348" t="s">
        <v>155</v>
      </c>
      <c r="AS65" s="349" t="s">
        <v>156</v>
      </c>
      <c r="AT65" s="348" t="s">
        <v>157</v>
      </c>
      <c r="AU65" s="350" t="s">
        <v>158</v>
      </c>
      <c r="AV65" s="348" t="s">
        <v>159</v>
      </c>
      <c r="AW65" s="180" t="s">
        <v>160</v>
      </c>
      <c r="AX65" s="181" t="s">
        <v>161</v>
      </c>
      <c r="BA65" s="83" t="s">
        <v>240</v>
      </c>
      <c r="BB65" s="168">
        <v>1</v>
      </c>
      <c r="BC65" s="168">
        <v>2</v>
      </c>
      <c r="BD65" s="168">
        <v>3</v>
      </c>
      <c r="BE65" s="168">
        <v>4</v>
      </c>
      <c r="BF65" s="168">
        <v>5</v>
      </c>
      <c r="BG65" s="168">
        <v>6</v>
      </c>
      <c r="BH65" s="168">
        <v>7</v>
      </c>
      <c r="BI65" s="168">
        <v>8</v>
      </c>
      <c r="BJ65" s="168">
        <v>9</v>
      </c>
      <c r="BK65" s="168">
        <v>10</v>
      </c>
      <c r="BL65" s="168">
        <v>11</v>
      </c>
      <c r="BM65" s="168">
        <v>12</v>
      </c>
      <c r="BN65" s="168">
        <v>13</v>
      </c>
      <c r="BO65" s="168">
        <v>14</v>
      </c>
      <c r="BP65" s="168">
        <v>15</v>
      </c>
      <c r="BQ65" s="168">
        <v>16</v>
      </c>
      <c r="BR65" s="168">
        <v>17</v>
      </c>
      <c r="BS65" s="168">
        <v>18</v>
      </c>
      <c r="BT65" s="168">
        <v>19</v>
      </c>
      <c r="BU65" s="168">
        <v>20</v>
      </c>
      <c r="BV65" s="182" t="s">
        <v>164</v>
      </c>
      <c r="BW65" s="168" t="s">
        <v>165</v>
      </c>
      <c r="BX65" s="168" t="s">
        <v>166</v>
      </c>
    </row>
    <row r="66" spans="1:76" s="25" customFormat="1" ht="15.75">
      <c r="B66" s="269">
        <v>1</v>
      </c>
      <c r="C66" s="413" t="str">
        <f t="shared" ref="C66:C85" si="12">IF(D66="","",C11)</f>
        <v/>
      </c>
      <c r="D66" s="414" t="str">
        <f>IF(OR(K11="", K11=0),"",D11)</f>
        <v/>
      </c>
      <c r="E66" s="415" t="str">
        <f t="shared" ref="E66:E85" si="13">IF(AX66="","",AX66)</f>
        <v/>
      </c>
      <c r="F66" s="883"/>
      <c r="G66" s="884"/>
      <c r="H66" s="416" t="str">
        <f t="shared" ref="H66:H85" si="14">IF(D66="","",AB66)</f>
        <v/>
      </c>
      <c r="I66" s="417" t="str">
        <f>IF(OR(K11="", K11=0),"",K11)</f>
        <v/>
      </c>
      <c r="J66" s="880" t="str">
        <f>IFERROR(IF(F66="","",VLOOKUP(F66,'10. Condition and Temporal'!$B$6:$F$103,5,FALSE)), "Error ▲")</f>
        <v/>
      </c>
      <c r="K66" s="881"/>
      <c r="L66" s="293" t="str">
        <f>IFERROR(IF(D66="","",IF(AX66="Distinctiveness",(((((I66*AH66*AJ66)-(I66*V66*X66))*(AV66*AT66))+(I66*V66*X66))*AP66/1000),((((I66*AH66*AJ66)-(I66*V66*X66))*(AV66*AR66))+(I66*V66*X66))*AP66/1000)),"This intervention is not permitted within the SSM ▲")</f>
        <v/>
      </c>
      <c r="M66" s="870" t="str">
        <f>IFERROR(IF(F66="","",L66-AD66), "Error ▲")</f>
        <v/>
      </c>
      <c r="N66" s="871"/>
      <c r="O66" s="216"/>
      <c r="P66" s="142"/>
      <c r="R66" s="655"/>
      <c r="T66" s="176" t="str">
        <f t="shared" ref="T66:T85" si="15">IF(D66="","",K11)</f>
        <v/>
      </c>
      <c r="U66" s="114" t="str">
        <f>IF($D66="","",T11)</f>
        <v/>
      </c>
      <c r="V66" s="115" t="str">
        <f t="shared" ref="V66:X85" si="16">IF($D66="","",V11)</f>
        <v/>
      </c>
      <c r="W66" s="114" t="str">
        <f t="shared" si="16"/>
        <v/>
      </c>
      <c r="X66" s="95" t="str">
        <f t="shared" si="16"/>
        <v/>
      </c>
      <c r="Y66" s="341"/>
      <c r="Z66" s="341"/>
      <c r="AA66" s="341"/>
      <c r="AB66" s="95" t="str">
        <f t="shared" ref="AB66:AB85" si="17">IF($D66="","",AB11)</f>
        <v/>
      </c>
      <c r="AC66" s="116" t="str">
        <f t="shared" ref="AC66:AC85" si="18">IF($D66="","",AD11)</f>
        <v/>
      </c>
      <c r="AD66" s="115" t="str">
        <f>IF(AC66="","",(T66*V66*X66)*AC66/1000)</f>
        <v/>
      </c>
      <c r="AE66" s="178"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1"/>
      <c r="AL66" s="341"/>
      <c r="AM66" s="341"/>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5"/>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3" t="str">
        <f>IF(BX66=0,"",CONCATENATE(BW66,"66:",BW66,BX66+65))</f>
        <v/>
      </c>
      <c r="BW66" s="95" t="s">
        <v>167</v>
      </c>
      <c r="BX66" s="95">
        <f>BB64</f>
        <v>0</v>
      </c>
    </row>
    <row r="67" spans="1:76" s="25" customFormat="1" ht="15.75">
      <c r="B67" s="263">
        <v>2</v>
      </c>
      <c r="C67" s="119" t="str">
        <f t="shared" si="12"/>
        <v/>
      </c>
      <c r="D67" s="207" t="str">
        <f t="shared" ref="D67:D85" si="43">IF(OR(K12="", K12=0),"",D12)</f>
        <v/>
      </c>
      <c r="E67" s="165" t="str">
        <f t="shared" si="13"/>
        <v/>
      </c>
      <c r="F67" s="673"/>
      <c r="G67" s="674"/>
      <c r="H67" s="162" t="str">
        <f t="shared" si="14"/>
        <v/>
      </c>
      <c r="I67" s="318" t="str">
        <f t="shared" ref="I67:I85" si="44">IF(OR(K12="", K12=0),"",K12)</f>
        <v/>
      </c>
      <c r="J67" s="867" t="str">
        <f>IFERROR(IF(F67="","",VLOOKUP(F67,'10. Condition and Temporal'!$B$6:$F$103,5,FALSE)), "Error ▲")</f>
        <v/>
      </c>
      <c r="K67" s="868"/>
      <c r="L67" s="282" t="str">
        <f t="shared" ref="L67:L85" si="45">IFERROR(IF(D67="","",IF(AX67="Distinctiveness",(((((I67*AH67*AJ67)-(I67*V67*X67))*(AV67*AT67))+(I67*V67*X67))*AP67/1000),((((I67*AH67*AJ67)-(I67*V67*X67))*(AV67*AR67))+(I67*V67*X67))*AP67/1000)),"This intervention is not permitted within the SSM ▲")</f>
        <v/>
      </c>
      <c r="M67" s="713" t="str">
        <f t="shared" ref="M67:M85" si="46">IFERROR(IF(F67="","",L67-AD67), "Error ▲")</f>
        <v/>
      </c>
      <c r="N67" s="866"/>
      <c r="O67" s="74"/>
      <c r="P67" s="12"/>
      <c r="R67" s="655"/>
      <c r="T67" s="176" t="str">
        <f t="shared" si="15"/>
        <v/>
      </c>
      <c r="U67" s="114" t="str">
        <f t="shared" ref="U67:U85" si="47">IF($D67="","",T12)</f>
        <v/>
      </c>
      <c r="V67" s="115" t="str">
        <f t="shared" si="16"/>
        <v/>
      </c>
      <c r="W67" s="114" t="str">
        <f t="shared" si="16"/>
        <v/>
      </c>
      <c r="X67" s="95" t="str">
        <f t="shared" si="16"/>
        <v/>
      </c>
      <c r="Y67" s="341"/>
      <c r="Z67" s="341"/>
      <c r="AA67" s="341"/>
      <c r="AB67" s="95" t="str">
        <f t="shared" si="17"/>
        <v/>
      </c>
      <c r="AC67" s="116" t="str">
        <f t="shared" si="18"/>
        <v/>
      </c>
      <c r="AD67" s="115" t="str">
        <f>IF(AC67="","",(T67*V67*X67)*AC67/1000)</f>
        <v/>
      </c>
      <c r="AE67" s="178"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1"/>
      <c r="AL67" s="341"/>
      <c r="AM67" s="341"/>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5"/>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3" t="str">
        <f t="shared" ref="BV67:BV85" si="49">IF(BX67=0,"",CONCATENATE(BW67,"66:",BW67,BX67+65))</f>
        <v/>
      </c>
      <c r="BW67" s="95" t="s">
        <v>241</v>
      </c>
      <c r="BX67" s="95">
        <f>BC64</f>
        <v>0</v>
      </c>
    </row>
    <row r="68" spans="1:76" s="25" customFormat="1" ht="15.75">
      <c r="B68" s="263">
        <v>3</v>
      </c>
      <c r="C68" s="119" t="str">
        <f t="shared" si="12"/>
        <v/>
      </c>
      <c r="D68" s="207" t="str">
        <f t="shared" si="43"/>
        <v/>
      </c>
      <c r="E68" s="165" t="str">
        <f t="shared" si="13"/>
        <v/>
      </c>
      <c r="F68" s="673"/>
      <c r="G68" s="674"/>
      <c r="H68" s="162" t="str">
        <f t="shared" si="14"/>
        <v/>
      </c>
      <c r="I68" s="318" t="str">
        <f t="shared" si="44"/>
        <v/>
      </c>
      <c r="J68" s="867" t="str">
        <f>IFERROR(IF(F68="","",VLOOKUP(F68,'10. Condition and Temporal'!$B$6:$F$103,5,FALSE)), "Error ▲")</f>
        <v/>
      </c>
      <c r="K68" s="868"/>
      <c r="L68" s="282" t="str">
        <f t="shared" si="45"/>
        <v/>
      </c>
      <c r="M68" s="713" t="str">
        <f t="shared" si="46"/>
        <v/>
      </c>
      <c r="N68" s="866"/>
      <c r="O68" s="74"/>
      <c r="P68" s="12"/>
      <c r="R68" s="655"/>
      <c r="T68" s="176" t="str">
        <f t="shared" si="15"/>
        <v/>
      </c>
      <c r="U68" s="114" t="str">
        <f t="shared" si="47"/>
        <v/>
      </c>
      <c r="V68" s="115" t="str">
        <f t="shared" si="16"/>
        <v/>
      </c>
      <c r="W68" s="114" t="str">
        <f t="shared" si="16"/>
        <v/>
      </c>
      <c r="X68" s="95" t="str">
        <f t="shared" si="16"/>
        <v/>
      </c>
      <c r="Y68" s="341"/>
      <c r="Z68" s="341"/>
      <c r="AA68" s="341"/>
      <c r="AB68" s="95" t="str">
        <f t="shared" si="17"/>
        <v/>
      </c>
      <c r="AC68" s="116" t="str">
        <f t="shared" si="18"/>
        <v/>
      </c>
      <c r="AD68" s="115" t="str">
        <f t="shared" ref="AD68:AD85" si="50">IF(AC68="","",(T68*V68*X68)*AC68/1000)</f>
        <v/>
      </c>
      <c r="AE68" s="178"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1"/>
      <c r="AL68" s="341"/>
      <c r="AM68" s="341"/>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5"/>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3" t="str">
        <f t="shared" si="49"/>
        <v/>
      </c>
      <c r="BW68" s="95" t="s">
        <v>168</v>
      </c>
      <c r="BX68" s="95">
        <f>BD64</f>
        <v>0</v>
      </c>
    </row>
    <row r="69" spans="1:76" s="25" customFormat="1" ht="15.75">
      <c r="B69" s="263">
        <v>4</v>
      </c>
      <c r="C69" s="119" t="str">
        <f t="shared" si="12"/>
        <v/>
      </c>
      <c r="D69" s="207" t="str">
        <f t="shared" si="43"/>
        <v/>
      </c>
      <c r="E69" s="165" t="str">
        <f t="shared" si="13"/>
        <v/>
      </c>
      <c r="F69" s="673"/>
      <c r="G69" s="674"/>
      <c r="H69" s="162" t="str">
        <f t="shared" si="14"/>
        <v/>
      </c>
      <c r="I69" s="318" t="str">
        <f t="shared" si="44"/>
        <v/>
      </c>
      <c r="J69" s="867" t="str">
        <f>IFERROR(IF(F69="","",VLOOKUP(F69,'10. Condition and Temporal'!$B$6:$F$103,5,FALSE)), "Error ▲")</f>
        <v/>
      </c>
      <c r="K69" s="868"/>
      <c r="L69" s="282" t="str">
        <f t="shared" si="45"/>
        <v/>
      </c>
      <c r="M69" s="713" t="str">
        <f t="shared" si="46"/>
        <v/>
      </c>
      <c r="N69" s="866"/>
      <c r="O69" s="74"/>
      <c r="P69" s="12"/>
      <c r="R69" s="655"/>
      <c r="T69" s="176" t="str">
        <f t="shared" si="15"/>
        <v/>
      </c>
      <c r="U69" s="114" t="str">
        <f t="shared" si="47"/>
        <v/>
      </c>
      <c r="V69" s="115" t="str">
        <f t="shared" si="16"/>
        <v/>
      </c>
      <c r="W69" s="114" t="str">
        <f t="shared" si="16"/>
        <v/>
      </c>
      <c r="X69" s="95" t="str">
        <f t="shared" si="16"/>
        <v/>
      </c>
      <c r="Y69" s="341"/>
      <c r="Z69" s="341"/>
      <c r="AA69" s="341"/>
      <c r="AB69" s="95" t="str">
        <f t="shared" si="17"/>
        <v/>
      </c>
      <c r="AC69" s="116" t="str">
        <f t="shared" si="18"/>
        <v/>
      </c>
      <c r="AD69" s="115" t="str">
        <f t="shared" si="50"/>
        <v/>
      </c>
      <c r="AE69" s="178"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1"/>
      <c r="AL69" s="341"/>
      <c r="AM69" s="341"/>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5"/>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3" t="str">
        <f t="shared" si="49"/>
        <v/>
      </c>
      <c r="BW69" s="95" t="s">
        <v>169</v>
      </c>
      <c r="BX69" s="95">
        <f>BE64</f>
        <v>0</v>
      </c>
    </row>
    <row r="70" spans="1:76" s="25" customFormat="1" ht="15.75">
      <c r="B70" s="263">
        <v>5</v>
      </c>
      <c r="C70" s="119" t="str">
        <f t="shared" si="12"/>
        <v/>
      </c>
      <c r="D70" s="207" t="str">
        <f t="shared" si="43"/>
        <v/>
      </c>
      <c r="E70" s="165" t="str">
        <f t="shared" si="13"/>
        <v/>
      </c>
      <c r="F70" s="673"/>
      <c r="G70" s="674"/>
      <c r="H70" s="162" t="str">
        <f t="shared" si="14"/>
        <v/>
      </c>
      <c r="I70" s="318" t="str">
        <f t="shared" si="44"/>
        <v/>
      </c>
      <c r="J70" s="867" t="str">
        <f>IFERROR(IF(F70="","",VLOOKUP(F70,'10. Condition and Temporal'!$B$6:$F$103,5,FALSE)), "Error ▲")</f>
        <v/>
      </c>
      <c r="K70" s="868"/>
      <c r="L70" s="282" t="str">
        <f t="shared" si="45"/>
        <v/>
      </c>
      <c r="M70" s="713" t="str">
        <f t="shared" si="46"/>
        <v/>
      </c>
      <c r="N70" s="866"/>
      <c r="O70" s="74"/>
      <c r="P70" s="12"/>
      <c r="R70" s="655"/>
      <c r="T70" s="176" t="str">
        <f t="shared" si="15"/>
        <v/>
      </c>
      <c r="U70" s="114" t="str">
        <f t="shared" si="47"/>
        <v/>
      </c>
      <c r="V70" s="115" t="str">
        <f t="shared" si="16"/>
        <v/>
      </c>
      <c r="W70" s="114" t="str">
        <f t="shared" si="16"/>
        <v/>
      </c>
      <c r="X70" s="95" t="str">
        <f t="shared" si="16"/>
        <v/>
      </c>
      <c r="Y70" s="341"/>
      <c r="Z70" s="341"/>
      <c r="AA70" s="341"/>
      <c r="AB70" s="95" t="str">
        <f t="shared" si="17"/>
        <v/>
      </c>
      <c r="AC70" s="116" t="str">
        <f t="shared" si="18"/>
        <v/>
      </c>
      <c r="AD70" s="115" t="str">
        <f t="shared" si="50"/>
        <v/>
      </c>
      <c r="AE70" s="178"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1"/>
      <c r="AL70" s="341"/>
      <c r="AM70" s="341"/>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5"/>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3" t="str">
        <f t="shared" si="49"/>
        <v/>
      </c>
      <c r="BW70" s="95" t="s">
        <v>170</v>
      </c>
      <c r="BX70" s="95">
        <f>BF64</f>
        <v>0</v>
      </c>
    </row>
    <row r="71" spans="1:76" s="25" customFormat="1" ht="15.75">
      <c r="B71" s="263">
        <v>6</v>
      </c>
      <c r="C71" s="119" t="str">
        <f t="shared" si="12"/>
        <v/>
      </c>
      <c r="D71" s="207" t="str">
        <f t="shared" si="43"/>
        <v/>
      </c>
      <c r="E71" s="165" t="str">
        <f t="shared" si="13"/>
        <v/>
      </c>
      <c r="F71" s="673"/>
      <c r="G71" s="674"/>
      <c r="H71" s="162" t="str">
        <f t="shared" si="14"/>
        <v/>
      </c>
      <c r="I71" s="318" t="str">
        <f t="shared" si="44"/>
        <v/>
      </c>
      <c r="J71" s="867" t="str">
        <f>IFERROR(IF(F71="","",VLOOKUP(F71,'10. Condition and Temporal'!$B$6:$F$103,5,FALSE)), "Error ▲")</f>
        <v/>
      </c>
      <c r="K71" s="868"/>
      <c r="L71" s="282" t="str">
        <f t="shared" si="45"/>
        <v/>
      </c>
      <c r="M71" s="713" t="str">
        <f t="shared" si="46"/>
        <v/>
      </c>
      <c r="N71" s="866"/>
      <c r="O71" s="74"/>
      <c r="P71" s="12"/>
      <c r="R71" s="655"/>
      <c r="T71" s="176" t="str">
        <f t="shared" si="15"/>
        <v/>
      </c>
      <c r="U71" s="114" t="str">
        <f t="shared" si="47"/>
        <v/>
      </c>
      <c r="V71" s="115" t="str">
        <f t="shared" si="16"/>
        <v/>
      </c>
      <c r="W71" s="114" t="str">
        <f t="shared" si="16"/>
        <v/>
      </c>
      <c r="X71" s="95" t="str">
        <f t="shared" si="16"/>
        <v/>
      </c>
      <c r="Y71" s="341"/>
      <c r="Z71" s="341"/>
      <c r="AA71" s="341"/>
      <c r="AB71" s="95" t="str">
        <f t="shared" si="17"/>
        <v/>
      </c>
      <c r="AC71" s="116" t="str">
        <f t="shared" si="18"/>
        <v/>
      </c>
      <c r="AD71" s="115" t="str">
        <f t="shared" si="50"/>
        <v/>
      </c>
      <c r="AE71" s="178"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1"/>
      <c r="AL71" s="341"/>
      <c r="AM71" s="341"/>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5"/>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3" t="str">
        <f t="shared" si="49"/>
        <v/>
      </c>
      <c r="BW71" s="95" t="s">
        <v>171</v>
      </c>
      <c r="BX71" s="95">
        <f>BG64</f>
        <v>0</v>
      </c>
    </row>
    <row r="72" spans="1:76" s="25" customFormat="1" ht="15.75">
      <c r="B72" s="263">
        <v>7</v>
      </c>
      <c r="C72" s="119" t="str">
        <f t="shared" si="12"/>
        <v/>
      </c>
      <c r="D72" s="207" t="str">
        <f t="shared" si="43"/>
        <v/>
      </c>
      <c r="E72" s="165" t="str">
        <f t="shared" si="13"/>
        <v/>
      </c>
      <c r="F72" s="673"/>
      <c r="G72" s="674"/>
      <c r="H72" s="162" t="str">
        <f t="shared" si="14"/>
        <v/>
      </c>
      <c r="I72" s="318" t="str">
        <f t="shared" si="44"/>
        <v/>
      </c>
      <c r="J72" s="867" t="str">
        <f>IFERROR(IF(F72="","",VLOOKUP(F72,'10. Condition and Temporal'!$B$6:$F$103,5,FALSE)), "Error ▲")</f>
        <v/>
      </c>
      <c r="K72" s="868"/>
      <c r="L72" s="282" t="str">
        <f t="shared" si="45"/>
        <v/>
      </c>
      <c r="M72" s="713" t="str">
        <f t="shared" si="46"/>
        <v/>
      </c>
      <c r="N72" s="866"/>
      <c r="O72" s="74"/>
      <c r="P72" s="12"/>
      <c r="R72" s="655"/>
      <c r="T72" s="176" t="str">
        <f t="shared" si="15"/>
        <v/>
      </c>
      <c r="U72" s="114" t="str">
        <f t="shared" si="47"/>
        <v/>
      </c>
      <c r="V72" s="115" t="str">
        <f t="shared" si="16"/>
        <v/>
      </c>
      <c r="W72" s="114" t="str">
        <f t="shared" si="16"/>
        <v/>
      </c>
      <c r="X72" s="95" t="str">
        <f t="shared" si="16"/>
        <v/>
      </c>
      <c r="Y72" s="341"/>
      <c r="Z72" s="341"/>
      <c r="AA72" s="341"/>
      <c r="AB72" s="95" t="str">
        <f t="shared" si="17"/>
        <v/>
      </c>
      <c r="AC72" s="116" t="str">
        <f t="shared" si="18"/>
        <v/>
      </c>
      <c r="AD72" s="115" t="str">
        <f t="shared" si="50"/>
        <v/>
      </c>
      <c r="AE72" s="178"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1"/>
      <c r="AL72" s="341"/>
      <c r="AM72" s="341"/>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5"/>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3" t="str">
        <f t="shared" si="49"/>
        <v/>
      </c>
      <c r="BW72" s="95" t="s">
        <v>172</v>
      </c>
      <c r="BX72" s="95">
        <f>BH64</f>
        <v>0</v>
      </c>
    </row>
    <row r="73" spans="1:76" s="25" customFormat="1" ht="15.75">
      <c r="B73" s="263">
        <v>8</v>
      </c>
      <c r="C73" s="119" t="str">
        <f t="shared" si="12"/>
        <v/>
      </c>
      <c r="D73" s="207" t="str">
        <f t="shared" si="43"/>
        <v/>
      </c>
      <c r="E73" s="165" t="str">
        <f t="shared" si="13"/>
        <v/>
      </c>
      <c r="F73" s="673"/>
      <c r="G73" s="674"/>
      <c r="H73" s="162" t="str">
        <f t="shared" si="14"/>
        <v/>
      </c>
      <c r="I73" s="318" t="str">
        <f t="shared" si="44"/>
        <v/>
      </c>
      <c r="J73" s="867" t="str">
        <f>IFERROR(IF(F73="","",VLOOKUP(F73,'10. Condition and Temporal'!$B$6:$F$103,5,FALSE)), "Error ▲")</f>
        <v/>
      </c>
      <c r="K73" s="868"/>
      <c r="L73" s="282" t="str">
        <f t="shared" si="45"/>
        <v/>
      </c>
      <c r="M73" s="713" t="str">
        <f t="shared" si="46"/>
        <v/>
      </c>
      <c r="N73" s="866"/>
      <c r="O73" s="74"/>
      <c r="P73" s="12"/>
      <c r="R73" s="655"/>
      <c r="T73" s="176" t="str">
        <f t="shared" si="15"/>
        <v/>
      </c>
      <c r="U73" s="114" t="str">
        <f t="shared" si="47"/>
        <v/>
      </c>
      <c r="V73" s="115" t="str">
        <f t="shared" si="16"/>
        <v/>
      </c>
      <c r="W73" s="114" t="str">
        <f t="shared" si="16"/>
        <v/>
      </c>
      <c r="X73" s="95" t="str">
        <f t="shared" si="16"/>
        <v/>
      </c>
      <c r="Y73" s="341"/>
      <c r="Z73" s="341"/>
      <c r="AA73" s="341"/>
      <c r="AB73" s="95" t="str">
        <f t="shared" si="17"/>
        <v/>
      </c>
      <c r="AC73" s="116" t="str">
        <f t="shared" si="18"/>
        <v/>
      </c>
      <c r="AD73" s="115" t="str">
        <f t="shared" si="50"/>
        <v/>
      </c>
      <c r="AE73" s="178"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1"/>
      <c r="AL73" s="341"/>
      <c r="AM73" s="341"/>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5"/>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3" t="str">
        <f t="shared" si="49"/>
        <v/>
      </c>
      <c r="BW73" s="95" t="s">
        <v>173</v>
      </c>
      <c r="BX73" s="95">
        <f>BI64</f>
        <v>0</v>
      </c>
    </row>
    <row r="74" spans="1:76" s="25" customFormat="1" ht="15.75">
      <c r="B74" s="263">
        <v>9</v>
      </c>
      <c r="C74" s="119" t="str">
        <f t="shared" si="12"/>
        <v/>
      </c>
      <c r="D74" s="207" t="str">
        <f t="shared" si="43"/>
        <v/>
      </c>
      <c r="E74" s="165" t="str">
        <f t="shared" si="13"/>
        <v/>
      </c>
      <c r="F74" s="673"/>
      <c r="G74" s="674"/>
      <c r="H74" s="162" t="str">
        <f t="shared" si="14"/>
        <v/>
      </c>
      <c r="I74" s="318" t="str">
        <f t="shared" si="44"/>
        <v/>
      </c>
      <c r="J74" s="867" t="str">
        <f>IFERROR(IF(F74="","",VLOOKUP(F74,'10. Condition and Temporal'!$B$6:$F$103,5,FALSE)), "Error ▲")</f>
        <v/>
      </c>
      <c r="K74" s="868"/>
      <c r="L74" s="282" t="str">
        <f t="shared" si="45"/>
        <v/>
      </c>
      <c r="M74" s="713" t="str">
        <f t="shared" si="46"/>
        <v/>
      </c>
      <c r="N74" s="866"/>
      <c r="O74" s="74"/>
      <c r="P74" s="12"/>
      <c r="R74" s="655"/>
      <c r="T74" s="176" t="str">
        <f t="shared" si="15"/>
        <v/>
      </c>
      <c r="U74" s="114" t="str">
        <f t="shared" si="47"/>
        <v/>
      </c>
      <c r="V74" s="115" t="str">
        <f t="shared" si="16"/>
        <v/>
      </c>
      <c r="W74" s="114" t="str">
        <f t="shared" si="16"/>
        <v/>
      </c>
      <c r="X74" s="95" t="str">
        <f t="shared" si="16"/>
        <v/>
      </c>
      <c r="Y74" s="341"/>
      <c r="Z74" s="341"/>
      <c r="AA74" s="341"/>
      <c r="AB74" s="95" t="str">
        <f t="shared" si="17"/>
        <v/>
      </c>
      <c r="AC74" s="116" t="str">
        <f t="shared" si="18"/>
        <v/>
      </c>
      <c r="AD74" s="115" t="str">
        <f t="shared" si="50"/>
        <v/>
      </c>
      <c r="AE74" s="178"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1"/>
      <c r="AL74" s="341"/>
      <c r="AM74" s="341"/>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5"/>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3" t="str">
        <f t="shared" si="49"/>
        <v/>
      </c>
      <c r="BW74" s="95" t="s">
        <v>174</v>
      </c>
      <c r="BX74" s="95">
        <f>BJ64</f>
        <v>0</v>
      </c>
    </row>
    <row r="75" spans="1:76" s="25" customFormat="1" ht="15.75">
      <c r="B75" s="263">
        <v>10</v>
      </c>
      <c r="C75" s="119" t="str">
        <f t="shared" si="12"/>
        <v/>
      </c>
      <c r="D75" s="207" t="str">
        <f t="shared" si="43"/>
        <v/>
      </c>
      <c r="E75" s="165" t="str">
        <f t="shared" si="13"/>
        <v/>
      </c>
      <c r="F75" s="673"/>
      <c r="G75" s="674"/>
      <c r="H75" s="162" t="str">
        <f t="shared" si="14"/>
        <v/>
      </c>
      <c r="I75" s="318" t="str">
        <f t="shared" si="44"/>
        <v/>
      </c>
      <c r="J75" s="867" t="str">
        <f>IFERROR(IF(F75="","",VLOOKUP(F75,'10. Condition and Temporal'!$B$6:$F$103,5,FALSE)), "Error ▲")</f>
        <v/>
      </c>
      <c r="K75" s="868"/>
      <c r="L75" s="282" t="str">
        <f t="shared" si="45"/>
        <v/>
      </c>
      <c r="M75" s="713" t="str">
        <f t="shared" si="46"/>
        <v/>
      </c>
      <c r="N75" s="866"/>
      <c r="O75" s="74"/>
      <c r="P75" s="12"/>
      <c r="R75" s="655"/>
      <c r="T75" s="176" t="str">
        <f t="shared" si="15"/>
        <v/>
      </c>
      <c r="U75" s="114" t="str">
        <f t="shared" si="47"/>
        <v/>
      </c>
      <c r="V75" s="115" t="str">
        <f t="shared" si="16"/>
        <v/>
      </c>
      <c r="W75" s="114" t="str">
        <f t="shared" si="16"/>
        <v/>
      </c>
      <c r="X75" s="95" t="str">
        <f t="shared" si="16"/>
        <v/>
      </c>
      <c r="Y75" s="341"/>
      <c r="Z75" s="341"/>
      <c r="AA75" s="341"/>
      <c r="AB75" s="95" t="str">
        <f t="shared" si="17"/>
        <v/>
      </c>
      <c r="AC75" s="116" t="str">
        <f t="shared" si="18"/>
        <v/>
      </c>
      <c r="AD75" s="115" t="str">
        <f t="shared" si="50"/>
        <v/>
      </c>
      <c r="AE75" s="178"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1"/>
      <c r="AL75" s="341"/>
      <c r="AM75" s="341"/>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5"/>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3" t="str">
        <f t="shared" si="49"/>
        <v/>
      </c>
      <c r="BW75" s="95" t="s">
        <v>175</v>
      </c>
      <c r="BX75" s="95">
        <f>BK64</f>
        <v>0</v>
      </c>
    </row>
    <row r="76" spans="1:76" s="25" customFormat="1" ht="15.75">
      <c r="B76" s="263">
        <v>11</v>
      </c>
      <c r="C76" s="119" t="str">
        <f t="shared" si="12"/>
        <v/>
      </c>
      <c r="D76" s="207" t="str">
        <f t="shared" si="43"/>
        <v/>
      </c>
      <c r="E76" s="165" t="str">
        <f t="shared" si="13"/>
        <v/>
      </c>
      <c r="F76" s="673"/>
      <c r="G76" s="674"/>
      <c r="H76" s="162" t="str">
        <f t="shared" si="14"/>
        <v/>
      </c>
      <c r="I76" s="318" t="str">
        <f t="shared" si="44"/>
        <v/>
      </c>
      <c r="J76" s="867" t="str">
        <f>IFERROR(IF(F76="","",VLOOKUP(F76,'10. Condition and Temporal'!$B$6:$F$103,5,FALSE)), "Error ▲")</f>
        <v/>
      </c>
      <c r="K76" s="868"/>
      <c r="L76" s="282" t="str">
        <f t="shared" si="45"/>
        <v/>
      </c>
      <c r="M76" s="713" t="str">
        <f t="shared" si="46"/>
        <v/>
      </c>
      <c r="N76" s="866"/>
      <c r="O76" s="74"/>
      <c r="P76" s="12"/>
      <c r="R76" s="655"/>
      <c r="T76" s="176" t="str">
        <f t="shared" si="15"/>
        <v/>
      </c>
      <c r="U76" s="114" t="str">
        <f t="shared" si="47"/>
        <v/>
      </c>
      <c r="V76" s="115" t="str">
        <f t="shared" si="16"/>
        <v/>
      </c>
      <c r="W76" s="114" t="str">
        <f t="shared" si="16"/>
        <v/>
      </c>
      <c r="X76" s="95" t="str">
        <f t="shared" si="16"/>
        <v/>
      </c>
      <c r="Y76" s="341"/>
      <c r="Z76" s="341"/>
      <c r="AA76" s="341"/>
      <c r="AB76" s="95" t="str">
        <f t="shared" si="17"/>
        <v/>
      </c>
      <c r="AC76" s="116" t="str">
        <f t="shared" si="18"/>
        <v/>
      </c>
      <c r="AD76" s="115" t="str">
        <f t="shared" si="50"/>
        <v/>
      </c>
      <c r="AE76" s="178"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1"/>
      <c r="AL76" s="341"/>
      <c r="AM76" s="341"/>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5"/>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3" t="str">
        <f t="shared" si="49"/>
        <v/>
      </c>
      <c r="BW76" s="95" t="s">
        <v>176</v>
      </c>
      <c r="BX76" s="95">
        <f>BL64</f>
        <v>0</v>
      </c>
    </row>
    <row r="77" spans="1:76" s="25" customFormat="1" ht="15.75">
      <c r="B77" s="263">
        <v>12</v>
      </c>
      <c r="C77" s="119" t="str">
        <f t="shared" si="12"/>
        <v/>
      </c>
      <c r="D77" s="207" t="str">
        <f t="shared" si="43"/>
        <v/>
      </c>
      <c r="E77" s="165" t="str">
        <f t="shared" si="13"/>
        <v/>
      </c>
      <c r="F77" s="673"/>
      <c r="G77" s="674"/>
      <c r="H77" s="162" t="str">
        <f t="shared" si="14"/>
        <v/>
      </c>
      <c r="I77" s="318" t="str">
        <f t="shared" si="44"/>
        <v/>
      </c>
      <c r="J77" s="867" t="str">
        <f>IFERROR(IF(F77="","",VLOOKUP(F77,'10. Condition and Temporal'!$B$6:$F$103,5,FALSE)), "Error ▲")</f>
        <v/>
      </c>
      <c r="K77" s="868"/>
      <c r="L77" s="282" t="str">
        <f t="shared" si="45"/>
        <v/>
      </c>
      <c r="M77" s="713" t="str">
        <f t="shared" si="46"/>
        <v/>
      </c>
      <c r="N77" s="866"/>
      <c r="O77" s="74"/>
      <c r="P77" s="12"/>
      <c r="R77" s="655"/>
      <c r="T77" s="176" t="str">
        <f t="shared" si="15"/>
        <v/>
      </c>
      <c r="U77" s="114" t="str">
        <f t="shared" si="47"/>
        <v/>
      </c>
      <c r="V77" s="115" t="str">
        <f t="shared" si="16"/>
        <v/>
      </c>
      <c r="W77" s="114" t="str">
        <f t="shared" si="16"/>
        <v/>
      </c>
      <c r="X77" s="95" t="str">
        <f t="shared" si="16"/>
        <v/>
      </c>
      <c r="Y77" s="341"/>
      <c r="Z77" s="341"/>
      <c r="AA77" s="341"/>
      <c r="AB77" s="95" t="str">
        <f t="shared" si="17"/>
        <v/>
      </c>
      <c r="AC77" s="116" t="str">
        <f t="shared" si="18"/>
        <v/>
      </c>
      <c r="AD77" s="115" t="str">
        <f t="shared" si="50"/>
        <v/>
      </c>
      <c r="AE77" s="178"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1"/>
      <c r="AL77" s="341"/>
      <c r="AM77" s="341"/>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5"/>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3" t="str">
        <f t="shared" si="49"/>
        <v/>
      </c>
      <c r="BW77" s="95" t="s">
        <v>177</v>
      </c>
      <c r="BX77" s="95">
        <f>BM64</f>
        <v>0</v>
      </c>
    </row>
    <row r="78" spans="1:76" s="25" customFormat="1" ht="15.75">
      <c r="B78" s="263">
        <v>13</v>
      </c>
      <c r="C78" s="119" t="str">
        <f t="shared" si="12"/>
        <v/>
      </c>
      <c r="D78" s="207" t="str">
        <f t="shared" si="43"/>
        <v/>
      </c>
      <c r="E78" s="165" t="str">
        <f t="shared" si="13"/>
        <v/>
      </c>
      <c r="F78" s="673"/>
      <c r="G78" s="674"/>
      <c r="H78" s="162" t="str">
        <f t="shared" si="14"/>
        <v/>
      </c>
      <c r="I78" s="318" t="str">
        <f t="shared" si="44"/>
        <v/>
      </c>
      <c r="J78" s="867" t="str">
        <f>IFERROR(IF(F78="","",VLOOKUP(F78,'10. Condition and Temporal'!$B$6:$F$103,5,FALSE)), "Error ▲")</f>
        <v/>
      </c>
      <c r="K78" s="868"/>
      <c r="L78" s="282" t="str">
        <f>IFERROR(IF(D78="","",IF(AX78="Distinctiveness",(((((I78*AH78*AJ78)-(I78*V78*X78))*(AV78*AT78))+(I78*V78*X78))*AP78/1000),((((I78*AH78*AJ78)-(I78*V78*X78))*(AV78*AR78))+(I78*V78*X78))*AP78/1000)),"This intervention is not permitted within the SSM ▲")</f>
        <v/>
      </c>
      <c r="M78" s="713" t="str">
        <f t="shared" si="46"/>
        <v/>
      </c>
      <c r="N78" s="866"/>
      <c r="O78" s="74"/>
      <c r="P78" s="12"/>
      <c r="R78" s="655"/>
      <c r="T78" s="176" t="str">
        <f t="shared" si="15"/>
        <v/>
      </c>
      <c r="U78" s="114" t="str">
        <f t="shared" si="47"/>
        <v/>
      </c>
      <c r="V78" s="115" t="str">
        <f t="shared" si="16"/>
        <v/>
      </c>
      <c r="W78" s="114" t="str">
        <f t="shared" si="16"/>
        <v/>
      </c>
      <c r="X78" s="95" t="str">
        <f t="shared" si="16"/>
        <v/>
      </c>
      <c r="Y78" s="341"/>
      <c r="Z78" s="341"/>
      <c r="AA78" s="341"/>
      <c r="AB78" s="95" t="str">
        <f t="shared" si="17"/>
        <v/>
      </c>
      <c r="AC78" s="116" t="str">
        <f t="shared" si="18"/>
        <v/>
      </c>
      <c r="AD78" s="115" t="str">
        <f t="shared" si="50"/>
        <v/>
      </c>
      <c r="AE78" s="178"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1"/>
      <c r="AL78" s="341"/>
      <c r="AM78" s="341"/>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5"/>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3" t="str">
        <f t="shared" si="49"/>
        <v/>
      </c>
      <c r="BW78" s="95" t="s">
        <v>178</v>
      </c>
      <c r="BX78" s="95">
        <f>BN64</f>
        <v>0</v>
      </c>
    </row>
    <row r="79" spans="1:76" s="25" customFormat="1" ht="15.75">
      <c r="B79" s="263">
        <v>14</v>
      </c>
      <c r="C79" s="119" t="str">
        <f t="shared" si="12"/>
        <v/>
      </c>
      <c r="D79" s="207" t="str">
        <f t="shared" si="43"/>
        <v/>
      </c>
      <c r="E79" s="165" t="str">
        <f t="shared" si="13"/>
        <v/>
      </c>
      <c r="F79" s="673"/>
      <c r="G79" s="674"/>
      <c r="H79" s="162" t="str">
        <f t="shared" si="14"/>
        <v/>
      </c>
      <c r="I79" s="318" t="str">
        <f t="shared" si="44"/>
        <v/>
      </c>
      <c r="J79" s="867" t="str">
        <f>IFERROR(IF(F79="","",VLOOKUP(F79,'10. Condition and Temporal'!$B$6:$F$103,5,FALSE)), "Error ▲")</f>
        <v/>
      </c>
      <c r="K79" s="868"/>
      <c r="L79" s="282" t="str">
        <f t="shared" si="45"/>
        <v/>
      </c>
      <c r="M79" s="713" t="str">
        <f t="shared" si="46"/>
        <v/>
      </c>
      <c r="N79" s="866"/>
      <c r="O79" s="74"/>
      <c r="P79" s="12"/>
      <c r="R79" s="655"/>
      <c r="T79" s="176" t="str">
        <f t="shared" si="15"/>
        <v/>
      </c>
      <c r="U79" s="114" t="str">
        <f t="shared" si="47"/>
        <v/>
      </c>
      <c r="V79" s="115" t="str">
        <f t="shared" si="16"/>
        <v/>
      </c>
      <c r="W79" s="114" t="str">
        <f t="shared" si="16"/>
        <v/>
      </c>
      <c r="X79" s="95" t="str">
        <f t="shared" si="16"/>
        <v/>
      </c>
      <c r="Y79" s="341"/>
      <c r="Z79" s="341"/>
      <c r="AA79" s="341"/>
      <c r="AB79" s="95" t="str">
        <f t="shared" si="17"/>
        <v/>
      </c>
      <c r="AC79" s="116" t="str">
        <f t="shared" si="18"/>
        <v/>
      </c>
      <c r="AD79" s="115" t="str">
        <f t="shared" si="50"/>
        <v/>
      </c>
      <c r="AE79" s="178"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1"/>
      <c r="AL79" s="341"/>
      <c r="AM79" s="341"/>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5"/>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3" t="str">
        <f t="shared" si="49"/>
        <v/>
      </c>
      <c r="BW79" s="95" t="s">
        <v>179</v>
      </c>
      <c r="BX79" s="95">
        <f>BO64</f>
        <v>0</v>
      </c>
    </row>
    <row r="80" spans="1:76" s="25" customFormat="1" ht="15.75">
      <c r="B80" s="263">
        <v>15</v>
      </c>
      <c r="C80" s="119" t="str">
        <f t="shared" si="12"/>
        <v/>
      </c>
      <c r="D80" s="207" t="str">
        <f t="shared" si="43"/>
        <v/>
      </c>
      <c r="E80" s="165" t="str">
        <f t="shared" si="13"/>
        <v/>
      </c>
      <c r="F80" s="673"/>
      <c r="G80" s="674"/>
      <c r="H80" s="162" t="str">
        <f t="shared" si="14"/>
        <v/>
      </c>
      <c r="I80" s="318" t="str">
        <f t="shared" si="44"/>
        <v/>
      </c>
      <c r="J80" s="867" t="str">
        <f>IFERROR(IF(F80="","",VLOOKUP(F80,'10. Condition and Temporal'!$B$6:$F$103,5,FALSE)), "Error ▲")</f>
        <v/>
      </c>
      <c r="K80" s="868"/>
      <c r="L80" s="282" t="str">
        <f t="shared" si="45"/>
        <v/>
      </c>
      <c r="M80" s="713" t="str">
        <f t="shared" si="46"/>
        <v/>
      </c>
      <c r="N80" s="866"/>
      <c r="O80" s="74"/>
      <c r="P80" s="12"/>
      <c r="R80" s="655"/>
      <c r="T80" s="176" t="str">
        <f t="shared" si="15"/>
        <v/>
      </c>
      <c r="U80" s="114" t="str">
        <f t="shared" si="47"/>
        <v/>
      </c>
      <c r="V80" s="115" t="str">
        <f t="shared" si="16"/>
        <v/>
      </c>
      <c r="W80" s="114" t="str">
        <f t="shared" si="16"/>
        <v/>
      </c>
      <c r="X80" s="95" t="str">
        <f t="shared" si="16"/>
        <v/>
      </c>
      <c r="Y80" s="341"/>
      <c r="Z80" s="341"/>
      <c r="AA80" s="341"/>
      <c r="AB80" s="95" t="str">
        <f t="shared" si="17"/>
        <v/>
      </c>
      <c r="AC80" s="116" t="str">
        <f t="shared" si="18"/>
        <v/>
      </c>
      <c r="AD80" s="115" t="str">
        <f t="shared" si="50"/>
        <v/>
      </c>
      <c r="AE80" s="178"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1"/>
      <c r="AL80" s="341"/>
      <c r="AM80" s="341"/>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5"/>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3" t="str">
        <f t="shared" si="49"/>
        <v/>
      </c>
      <c r="BW80" s="95" t="s">
        <v>180</v>
      </c>
      <c r="BX80" s="95">
        <f>BP64</f>
        <v>0</v>
      </c>
    </row>
    <row r="81" spans="1:76" s="25" customFormat="1" ht="15.75">
      <c r="B81" s="263">
        <v>16</v>
      </c>
      <c r="C81" s="119" t="str">
        <f t="shared" si="12"/>
        <v/>
      </c>
      <c r="D81" s="207" t="str">
        <f t="shared" si="43"/>
        <v/>
      </c>
      <c r="E81" s="165" t="str">
        <f t="shared" si="13"/>
        <v/>
      </c>
      <c r="F81" s="673"/>
      <c r="G81" s="674"/>
      <c r="H81" s="162" t="str">
        <f t="shared" si="14"/>
        <v/>
      </c>
      <c r="I81" s="318" t="str">
        <f t="shared" si="44"/>
        <v/>
      </c>
      <c r="J81" s="867" t="str">
        <f>IFERROR(IF(F81="","",VLOOKUP(F81,'10. Condition and Temporal'!$B$6:$F$103,5,FALSE)), "Error ▲")</f>
        <v/>
      </c>
      <c r="K81" s="868"/>
      <c r="L81" s="282" t="str">
        <f t="shared" si="45"/>
        <v/>
      </c>
      <c r="M81" s="713" t="str">
        <f t="shared" si="46"/>
        <v/>
      </c>
      <c r="N81" s="866"/>
      <c r="O81" s="74"/>
      <c r="P81" s="12"/>
      <c r="R81" s="655"/>
      <c r="T81" s="176" t="str">
        <f t="shared" si="15"/>
        <v/>
      </c>
      <c r="U81" s="114" t="str">
        <f t="shared" si="47"/>
        <v/>
      </c>
      <c r="V81" s="115" t="str">
        <f t="shared" si="16"/>
        <v/>
      </c>
      <c r="W81" s="114" t="str">
        <f t="shared" si="16"/>
        <v/>
      </c>
      <c r="X81" s="95" t="str">
        <f t="shared" si="16"/>
        <v/>
      </c>
      <c r="Y81" s="341"/>
      <c r="Z81" s="341"/>
      <c r="AA81" s="341"/>
      <c r="AB81" s="95" t="str">
        <f t="shared" si="17"/>
        <v/>
      </c>
      <c r="AC81" s="116" t="str">
        <f t="shared" si="18"/>
        <v/>
      </c>
      <c r="AD81" s="115" t="str">
        <f t="shared" si="50"/>
        <v/>
      </c>
      <c r="AE81" s="178"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1"/>
      <c r="AL81" s="341"/>
      <c r="AM81" s="341"/>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5"/>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3" t="str">
        <f t="shared" si="49"/>
        <v/>
      </c>
      <c r="BW81" s="95" t="s">
        <v>181</v>
      </c>
      <c r="BX81" s="95">
        <f>BQ64</f>
        <v>0</v>
      </c>
    </row>
    <row r="82" spans="1:76" s="25" customFormat="1" ht="15.75">
      <c r="B82" s="263">
        <v>17</v>
      </c>
      <c r="C82" s="119" t="str">
        <f t="shared" si="12"/>
        <v/>
      </c>
      <c r="D82" s="207" t="str">
        <f t="shared" si="43"/>
        <v/>
      </c>
      <c r="E82" s="165" t="str">
        <f t="shared" si="13"/>
        <v/>
      </c>
      <c r="F82" s="673"/>
      <c r="G82" s="674"/>
      <c r="H82" s="162" t="str">
        <f t="shared" si="14"/>
        <v/>
      </c>
      <c r="I82" s="318" t="str">
        <f t="shared" si="44"/>
        <v/>
      </c>
      <c r="J82" s="867" t="str">
        <f>IFERROR(IF(F82="","",VLOOKUP(F82,'10. Condition and Temporal'!$B$6:$F$103,5,FALSE)), "Error ▲")</f>
        <v/>
      </c>
      <c r="K82" s="868"/>
      <c r="L82" s="282" t="str">
        <f t="shared" si="45"/>
        <v/>
      </c>
      <c r="M82" s="713" t="str">
        <f t="shared" si="46"/>
        <v/>
      </c>
      <c r="N82" s="866"/>
      <c r="O82" s="74"/>
      <c r="P82" s="12"/>
      <c r="R82" s="655"/>
      <c r="T82" s="176" t="str">
        <f t="shared" si="15"/>
        <v/>
      </c>
      <c r="U82" s="114" t="str">
        <f t="shared" si="47"/>
        <v/>
      </c>
      <c r="V82" s="115" t="str">
        <f t="shared" si="16"/>
        <v/>
      </c>
      <c r="W82" s="114" t="str">
        <f t="shared" si="16"/>
        <v/>
      </c>
      <c r="X82" s="95" t="str">
        <f t="shared" si="16"/>
        <v/>
      </c>
      <c r="Y82" s="341"/>
      <c r="Z82" s="341"/>
      <c r="AA82" s="341"/>
      <c r="AB82" s="95" t="str">
        <f t="shared" si="17"/>
        <v/>
      </c>
      <c r="AC82" s="116" t="str">
        <f t="shared" si="18"/>
        <v/>
      </c>
      <c r="AD82" s="115" t="str">
        <f t="shared" si="50"/>
        <v/>
      </c>
      <c r="AE82" s="178"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1"/>
      <c r="AL82" s="341"/>
      <c r="AM82" s="341"/>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5"/>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3" t="str">
        <f t="shared" si="49"/>
        <v/>
      </c>
      <c r="BW82" s="95" t="s">
        <v>182</v>
      </c>
      <c r="BX82" s="95">
        <f>BR64</f>
        <v>0</v>
      </c>
    </row>
    <row r="83" spans="1:76" s="25" customFormat="1" ht="15.75">
      <c r="B83" s="263">
        <v>18</v>
      </c>
      <c r="C83" s="119" t="str">
        <f t="shared" si="12"/>
        <v/>
      </c>
      <c r="D83" s="207" t="str">
        <f t="shared" si="43"/>
        <v/>
      </c>
      <c r="E83" s="165" t="str">
        <f t="shared" si="13"/>
        <v/>
      </c>
      <c r="F83" s="673"/>
      <c r="G83" s="674"/>
      <c r="H83" s="162" t="str">
        <f t="shared" si="14"/>
        <v/>
      </c>
      <c r="I83" s="318" t="str">
        <f t="shared" si="44"/>
        <v/>
      </c>
      <c r="J83" s="867" t="str">
        <f>IFERROR(IF(F83="","",VLOOKUP(F83,'10. Condition and Temporal'!$B$6:$F$103,5,FALSE)), "Error ▲")</f>
        <v/>
      </c>
      <c r="K83" s="868"/>
      <c r="L83" s="282" t="str">
        <f t="shared" si="45"/>
        <v/>
      </c>
      <c r="M83" s="713" t="str">
        <f t="shared" si="46"/>
        <v/>
      </c>
      <c r="N83" s="866"/>
      <c r="O83" s="74"/>
      <c r="P83" s="12"/>
      <c r="R83" s="655"/>
      <c r="T83" s="176" t="str">
        <f t="shared" si="15"/>
        <v/>
      </c>
      <c r="U83" s="114" t="str">
        <f t="shared" si="47"/>
        <v/>
      </c>
      <c r="V83" s="115" t="str">
        <f t="shared" si="16"/>
        <v/>
      </c>
      <c r="W83" s="114" t="str">
        <f t="shared" si="16"/>
        <v/>
      </c>
      <c r="X83" s="95" t="str">
        <f t="shared" si="16"/>
        <v/>
      </c>
      <c r="Y83" s="341"/>
      <c r="Z83" s="341"/>
      <c r="AA83" s="341"/>
      <c r="AB83" s="95" t="str">
        <f t="shared" si="17"/>
        <v/>
      </c>
      <c r="AC83" s="116" t="str">
        <f t="shared" si="18"/>
        <v/>
      </c>
      <c r="AD83" s="115" t="str">
        <f t="shared" si="50"/>
        <v/>
      </c>
      <c r="AE83" s="178"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1"/>
      <c r="AL83" s="341"/>
      <c r="AM83" s="341"/>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5"/>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3" t="str">
        <f t="shared" si="49"/>
        <v/>
      </c>
      <c r="BW83" s="95" t="s">
        <v>183</v>
      </c>
      <c r="BX83" s="95">
        <f>BS64</f>
        <v>0</v>
      </c>
    </row>
    <row r="84" spans="1:76" s="25" customFormat="1" ht="15.75">
      <c r="B84" s="263">
        <v>19</v>
      </c>
      <c r="C84" s="119" t="str">
        <f t="shared" si="12"/>
        <v/>
      </c>
      <c r="D84" s="207" t="str">
        <f t="shared" si="43"/>
        <v/>
      </c>
      <c r="E84" s="165" t="str">
        <f t="shared" si="13"/>
        <v/>
      </c>
      <c r="F84" s="673"/>
      <c r="G84" s="674"/>
      <c r="H84" s="162" t="str">
        <f t="shared" si="14"/>
        <v/>
      </c>
      <c r="I84" s="318" t="str">
        <f t="shared" si="44"/>
        <v/>
      </c>
      <c r="J84" s="867" t="str">
        <f>IFERROR(IF(F84="","",VLOOKUP(F84,'10. Condition and Temporal'!$B$6:$F$103,5,FALSE)), "Error ▲")</f>
        <v/>
      </c>
      <c r="K84" s="868"/>
      <c r="L84" s="282" t="str">
        <f t="shared" si="45"/>
        <v/>
      </c>
      <c r="M84" s="713" t="str">
        <f t="shared" si="46"/>
        <v/>
      </c>
      <c r="N84" s="866"/>
      <c r="O84" s="74"/>
      <c r="P84" s="12"/>
      <c r="R84" s="655"/>
      <c r="T84" s="176" t="str">
        <f t="shared" si="15"/>
        <v/>
      </c>
      <c r="U84" s="114" t="str">
        <f t="shared" si="47"/>
        <v/>
      </c>
      <c r="V84" s="115" t="str">
        <f t="shared" si="16"/>
        <v/>
      </c>
      <c r="W84" s="114" t="str">
        <f t="shared" si="16"/>
        <v/>
      </c>
      <c r="X84" s="95" t="str">
        <f t="shared" si="16"/>
        <v/>
      </c>
      <c r="Y84" s="341"/>
      <c r="Z84" s="341"/>
      <c r="AA84" s="341"/>
      <c r="AB84" s="95" t="str">
        <f t="shared" si="17"/>
        <v/>
      </c>
      <c r="AC84" s="116" t="str">
        <f t="shared" si="18"/>
        <v/>
      </c>
      <c r="AD84" s="115" t="str">
        <f t="shared" si="50"/>
        <v/>
      </c>
      <c r="AE84" s="178"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1"/>
      <c r="AL84" s="341"/>
      <c r="AM84" s="341"/>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5"/>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3" t="str">
        <f t="shared" si="49"/>
        <v/>
      </c>
      <c r="BW84" s="95" t="s">
        <v>184</v>
      </c>
      <c r="BX84" s="95">
        <f>BT64</f>
        <v>0</v>
      </c>
    </row>
    <row r="85" spans="1:76" s="25" customFormat="1" ht="15.75">
      <c r="B85" s="264">
        <v>20</v>
      </c>
      <c r="C85" s="138" t="str">
        <f t="shared" si="12"/>
        <v/>
      </c>
      <c r="D85" s="418" t="str">
        <f t="shared" si="43"/>
        <v/>
      </c>
      <c r="E85" s="166" t="str">
        <f t="shared" si="13"/>
        <v/>
      </c>
      <c r="F85" s="677"/>
      <c r="G85" s="678"/>
      <c r="H85" s="163" t="str">
        <f t="shared" si="14"/>
        <v/>
      </c>
      <c r="I85" s="419" t="str">
        <f t="shared" si="44"/>
        <v/>
      </c>
      <c r="J85" s="877" t="str">
        <f>IFERROR(IF(F85="","",VLOOKUP(F85,'10. Condition and Temporal'!$B$6:$F$103,5,FALSE)), "Error ▲")</f>
        <v/>
      </c>
      <c r="K85" s="878"/>
      <c r="L85" s="420" t="str">
        <f t="shared" si="45"/>
        <v/>
      </c>
      <c r="M85" s="882" t="str">
        <f t="shared" si="46"/>
        <v/>
      </c>
      <c r="N85" s="865"/>
      <c r="O85" s="75"/>
      <c r="P85" s="14"/>
      <c r="R85" s="655"/>
      <c r="T85" s="176" t="str">
        <f t="shared" si="15"/>
        <v/>
      </c>
      <c r="U85" s="114" t="str">
        <f t="shared" si="47"/>
        <v/>
      </c>
      <c r="V85" s="115" t="str">
        <f t="shared" si="16"/>
        <v/>
      </c>
      <c r="W85" s="114" t="str">
        <f t="shared" si="16"/>
        <v/>
      </c>
      <c r="X85" s="95" t="str">
        <f t="shared" si="16"/>
        <v/>
      </c>
      <c r="Y85" s="341"/>
      <c r="Z85" s="341"/>
      <c r="AA85" s="341"/>
      <c r="AB85" s="95" t="str">
        <f t="shared" si="17"/>
        <v/>
      </c>
      <c r="AC85" s="116" t="str">
        <f t="shared" si="18"/>
        <v/>
      </c>
      <c r="AD85" s="115" t="str">
        <f t="shared" si="50"/>
        <v/>
      </c>
      <c r="AE85" s="178"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2"/>
      <c r="AL85" s="362"/>
      <c r="AM85" s="362"/>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5"/>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3" t="str">
        <f t="shared" si="49"/>
        <v/>
      </c>
      <c r="BW85" s="95" t="s">
        <v>185</v>
      </c>
      <c r="BX85" s="95">
        <f>BU64</f>
        <v>0</v>
      </c>
    </row>
    <row r="86" spans="1:76" s="25" customFormat="1">
      <c r="H86" s="267" t="s">
        <v>236</v>
      </c>
      <c r="I86" s="320">
        <f>SUM(I66:I85)</f>
        <v>0</v>
      </c>
      <c r="J86" s="412"/>
      <c r="L86" s="389">
        <f>SUM(L66:L85)</f>
        <v>0</v>
      </c>
      <c r="M86" s="864">
        <f>SUM(M66:N85)</f>
        <v>0</v>
      </c>
      <c r="N86" s="865"/>
      <c r="R86" s="655"/>
    </row>
    <row r="87" spans="1:76" s="25" customFormat="1">
      <c r="C87" s="26"/>
      <c r="R87" s="655"/>
    </row>
    <row r="88" spans="1:76" s="25" customFormat="1">
      <c r="R88" s="655"/>
    </row>
    <row r="89" spans="1:76" s="25" customFormat="1" ht="19.149999999999999" customHeight="1">
      <c r="R89" s="655"/>
    </row>
    <row r="90" spans="1:76" s="25" customFormat="1">
      <c r="R90" s="655"/>
    </row>
    <row r="91" spans="1:76" s="25" customFormat="1">
      <c r="A91" s="655" t="s">
        <v>200</v>
      </c>
      <c r="B91" s="655"/>
      <c r="C91" s="655"/>
      <c r="D91" s="655"/>
      <c r="E91" s="655"/>
      <c r="F91" s="655"/>
      <c r="G91" s="655"/>
      <c r="H91" s="655"/>
      <c r="I91" s="655"/>
      <c r="J91" s="655"/>
      <c r="K91" s="655"/>
      <c r="L91" s="655"/>
      <c r="M91" s="655"/>
      <c r="N91" s="655"/>
      <c r="O91" s="655"/>
      <c r="P91" s="655"/>
      <c r="Q91" s="655"/>
      <c r="R91" s="655"/>
    </row>
    <row r="92" spans="1:76" s="25" customFormat="1">
      <c r="A92" s="655"/>
      <c r="B92" s="655"/>
      <c r="C92" s="655"/>
      <c r="D92" s="655"/>
      <c r="E92" s="655"/>
      <c r="F92" s="655"/>
      <c r="G92" s="655"/>
      <c r="H92" s="655"/>
      <c r="I92" s="655"/>
      <c r="J92" s="655"/>
      <c r="K92" s="655"/>
      <c r="L92" s="655"/>
      <c r="M92" s="655"/>
      <c r="N92" s="655"/>
      <c r="O92" s="655"/>
      <c r="P92" s="655"/>
      <c r="Q92" s="655"/>
      <c r="R92" s="655"/>
    </row>
    <row r="93" spans="1:76" s="25" customFormat="1">
      <c r="A93" s="655"/>
      <c r="B93" s="655"/>
      <c r="C93" s="655"/>
      <c r="D93" s="655"/>
      <c r="E93" s="655"/>
      <c r="F93" s="655"/>
      <c r="G93" s="655"/>
      <c r="H93" s="655"/>
      <c r="I93" s="655"/>
      <c r="J93" s="655"/>
      <c r="K93" s="655"/>
      <c r="L93" s="655"/>
      <c r="M93" s="655"/>
      <c r="N93" s="655"/>
      <c r="O93" s="655"/>
      <c r="P93" s="655"/>
      <c r="Q93" s="655"/>
      <c r="R93" s="655"/>
    </row>
    <row r="94" spans="1:76" s="25" customFormat="1">
      <c r="R94" s="655"/>
    </row>
    <row r="95" spans="1:76" s="25" customFormat="1" ht="21">
      <c r="B95" s="57" t="s">
        <v>201</v>
      </c>
      <c r="D95" s="26"/>
      <c r="E95" s="26"/>
      <c r="F95" s="26"/>
      <c r="G95" s="26"/>
      <c r="R95" s="655"/>
    </row>
    <row r="96" spans="1:76" s="25" customFormat="1">
      <c r="R96" s="655"/>
    </row>
    <row r="97" spans="2:18" s="25" customFormat="1" ht="36.6" customHeight="1">
      <c r="B97" s="872" t="s">
        <v>242</v>
      </c>
      <c r="C97" s="873"/>
      <c r="D97" s="874"/>
      <c r="E97" s="875" t="str">
        <f t="array" aca="1" ref="E97" ca="1">IF(OR(H103:H113="No ▲"),"Error - Trading Rules Not Satisfied ▲","Trading Rules Satisfied ✓")</f>
        <v>Trading Rules Satisfied ✓</v>
      </c>
      <c r="F97" s="875"/>
      <c r="G97" s="875"/>
      <c r="H97" s="875"/>
      <c r="I97" s="876"/>
      <c r="J97" s="157">
        <f ca="1">IFERROR(FIND("Error",E97),0)</f>
        <v>0</v>
      </c>
      <c r="R97" s="655"/>
    </row>
    <row r="98" spans="2:18" s="25" customFormat="1">
      <c r="R98" s="655"/>
    </row>
    <row r="99" spans="2:18" s="25" customFormat="1" ht="21">
      <c r="B99" s="57" t="s">
        <v>204</v>
      </c>
      <c r="R99" s="655"/>
    </row>
    <row r="100" spans="2:18" s="25" customFormat="1">
      <c r="R100" s="655"/>
    </row>
    <row r="101" spans="2:18" s="25" customFormat="1">
      <c r="R101" s="655"/>
    </row>
    <row r="102" spans="2:18" s="25" customFormat="1" ht="51" customHeight="1">
      <c r="B102" s="454" t="s">
        <v>143</v>
      </c>
      <c r="C102" s="449" t="s">
        <v>95</v>
      </c>
      <c r="D102" s="449" t="s">
        <v>61</v>
      </c>
      <c r="E102" s="449" t="s">
        <v>207</v>
      </c>
      <c r="F102" s="449" t="s">
        <v>208</v>
      </c>
      <c r="G102" s="449" t="s">
        <v>209</v>
      </c>
      <c r="H102" s="439" t="s">
        <v>210</v>
      </c>
      <c r="I102" s="428"/>
      <c r="R102" s="655"/>
    </row>
    <row r="103" spans="2:18" s="25" customFormat="1" ht="30.75" customHeight="1">
      <c r="B103" s="919" t="s">
        <v>235</v>
      </c>
      <c r="C103" s="922" t="s">
        <v>214</v>
      </c>
      <c r="D103" s="450" t="s">
        <v>243</v>
      </c>
      <c r="E103" s="451">
        <f ca="1">SUMIF($D$11:$E$30,D103,$L$11:$L$30)</f>
        <v>0</v>
      </c>
      <c r="F103" s="451">
        <f ca="1">IF($I$31+$I$59+$I$86=0,0,SUMIF($D$39:$D$58,D103,$L$39:$N$58)+SUMIF($F$66:$G$85,D103,$L$66:$L$85)+SUMIF($D$11:$E$30,D103,$AE$11:$AE$30))</f>
        <v>0</v>
      </c>
      <c r="G103" s="451">
        <f ca="1">$F$103-$E$103</f>
        <v>0</v>
      </c>
      <c r="H103" s="856" t="str">
        <f ca="1">IF(G108&gt;=0, "Yes ✓", "No ▲")</f>
        <v>Yes ✓</v>
      </c>
      <c r="I103" s="428"/>
      <c r="R103" s="655"/>
    </row>
    <row r="104" spans="2:18" s="25" customFormat="1" ht="30.75" customHeight="1">
      <c r="B104" s="920"/>
      <c r="C104" s="923"/>
      <c r="D104" s="430" t="s">
        <v>244</v>
      </c>
      <c r="E104" s="431">
        <f t="shared" ref="E104:E113" ca="1" si="51">SUMIF($D$11:$E$30,D104,$L$11:$L$30)</f>
        <v>0</v>
      </c>
      <c r="F104" s="431">
        <f t="shared" ref="F104:F113" ca="1" si="52">IF($I$31+$I$59+$I$86=0,0,SUMIF($D$39:$D$58,D104,$L$39:$N$58)+SUMIF($F$66:$G$85,D104,$L$66:$L$85)+SUMIF($D$11:$E$30,D104,$AE$11:$AE$30))</f>
        <v>0</v>
      </c>
      <c r="G104" s="431">
        <f ca="1">$F$104-$E$104</f>
        <v>0</v>
      </c>
      <c r="H104" s="857"/>
      <c r="I104" s="428"/>
      <c r="R104" s="655"/>
    </row>
    <row r="105" spans="2:18" s="25" customFormat="1" ht="30.75" customHeight="1">
      <c r="B105" s="920"/>
      <c r="C105" s="923"/>
      <c r="D105" s="430" t="s">
        <v>245</v>
      </c>
      <c r="E105" s="431">
        <f t="shared" ca="1" si="51"/>
        <v>0</v>
      </c>
      <c r="F105" s="431">
        <f t="shared" ca="1" si="52"/>
        <v>0</v>
      </c>
      <c r="G105" s="431">
        <f ca="1">$F$105-$E$105</f>
        <v>0</v>
      </c>
      <c r="H105" s="857"/>
      <c r="I105" s="428"/>
      <c r="R105" s="655"/>
    </row>
    <row r="106" spans="2:18" s="25" customFormat="1" ht="30.75" customHeight="1">
      <c r="B106" s="920"/>
      <c r="C106" s="923"/>
      <c r="D106" s="430" t="s">
        <v>246</v>
      </c>
      <c r="E106" s="431">
        <f t="shared" ca="1" si="51"/>
        <v>0</v>
      </c>
      <c r="F106" s="431">
        <f t="shared" ca="1" si="52"/>
        <v>0</v>
      </c>
      <c r="G106" s="431">
        <f ca="1">$F$106-$E$106</f>
        <v>0</v>
      </c>
      <c r="H106" s="857"/>
      <c r="I106" s="428"/>
      <c r="R106" s="655"/>
    </row>
    <row r="107" spans="2:18" s="25" customFormat="1" ht="30.75" customHeight="1">
      <c r="B107" s="920"/>
      <c r="C107" s="923"/>
      <c r="D107" s="430" t="s">
        <v>247</v>
      </c>
      <c r="E107" s="431">
        <f t="shared" ca="1" si="51"/>
        <v>0</v>
      </c>
      <c r="F107" s="431">
        <f t="shared" ca="1" si="52"/>
        <v>0</v>
      </c>
      <c r="G107" s="431">
        <f ca="1">$F$107-$E$107</f>
        <v>0</v>
      </c>
      <c r="H107" s="857"/>
      <c r="I107" s="157"/>
      <c r="R107" s="655"/>
    </row>
    <row r="108" spans="2:18" s="25" customFormat="1" ht="30.75" customHeight="1">
      <c r="B108" s="920"/>
      <c r="C108" s="924"/>
      <c r="D108" s="442" t="s">
        <v>248</v>
      </c>
      <c r="E108" s="443">
        <f ca="1">SUM($E$103:$E$107)</f>
        <v>0</v>
      </c>
      <c r="F108" s="443">
        <f ca="1">SUM($F$103:$F$107)</f>
        <v>0</v>
      </c>
      <c r="G108" s="443">
        <f ca="1">SUM($G$103:$G$107)</f>
        <v>0</v>
      </c>
      <c r="H108" s="858"/>
      <c r="I108" s="157">
        <f ca="1">IF($H$103="No ▲",1,0)</f>
        <v>0</v>
      </c>
      <c r="R108" s="655"/>
    </row>
    <row r="109" spans="2:18" s="25" customFormat="1" ht="30.75" customHeight="1">
      <c r="B109" s="920"/>
      <c r="C109" s="922" t="s">
        <v>212</v>
      </c>
      <c r="D109" s="450" t="s">
        <v>249</v>
      </c>
      <c r="E109" s="451">
        <f t="shared" ca="1" si="51"/>
        <v>0</v>
      </c>
      <c r="F109" s="451">
        <f t="shared" ca="1" si="52"/>
        <v>0</v>
      </c>
      <c r="G109" s="451">
        <f ca="1">$F$109-$E$109</f>
        <v>0</v>
      </c>
      <c r="H109" s="856" t="str">
        <f ca="1">IF(G112&gt;=0,"Yes ✓",IF(E114&gt;=0,"Yes ✓","No ▲"))</f>
        <v>Yes ✓</v>
      </c>
      <c r="I109" s="157"/>
      <c r="R109" s="655"/>
    </row>
    <row r="110" spans="2:18" s="25" customFormat="1" ht="30.75" customHeight="1">
      <c r="B110" s="920"/>
      <c r="C110" s="923"/>
      <c r="D110" s="430" t="s">
        <v>250</v>
      </c>
      <c r="E110" s="431">
        <f t="shared" ca="1" si="51"/>
        <v>0</v>
      </c>
      <c r="F110" s="431">
        <f t="shared" ca="1" si="52"/>
        <v>0</v>
      </c>
      <c r="G110" s="431">
        <f ca="1">$F$110-$E$110</f>
        <v>0</v>
      </c>
      <c r="H110" s="857"/>
      <c r="I110" s="157"/>
      <c r="R110" s="655"/>
    </row>
    <row r="111" spans="2:18" s="25" customFormat="1" ht="30.75" customHeight="1">
      <c r="B111" s="920"/>
      <c r="C111" s="923"/>
      <c r="D111" s="430" t="s">
        <v>251</v>
      </c>
      <c r="E111" s="431">
        <f t="shared" ca="1" si="51"/>
        <v>0</v>
      </c>
      <c r="F111" s="431">
        <f t="shared" ca="1" si="52"/>
        <v>0</v>
      </c>
      <c r="G111" s="431">
        <f ca="1">$F$111-$E$111</f>
        <v>0</v>
      </c>
      <c r="H111" s="857"/>
      <c r="I111" s="157"/>
      <c r="R111" s="655"/>
    </row>
    <row r="112" spans="2:18" s="25" customFormat="1" ht="30.75" customHeight="1">
      <c r="B112" s="920"/>
      <c r="C112" s="924"/>
      <c r="D112" s="442" t="s">
        <v>248</v>
      </c>
      <c r="E112" s="443">
        <f ca="1">SUM($E$109:$E$111)</f>
        <v>0</v>
      </c>
      <c r="F112" s="443">
        <f ca="1">SUM($F$109:$F$111)</f>
        <v>0</v>
      </c>
      <c r="G112" s="443">
        <f ca="1">SUM($G$109:$G$111)</f>
        <v>0</v>
      </c>
      <c r="H112" s="858"/>
      <c r="I112" s="157">
        <f ca="1">IF($H$109="No ▲",1,0)</f>
        <v>0</v>
      </c>
      <c r="R112" s="655"/>
    </row>
    <row r="113" spans="2:18" s="25" customFormat="1" ht="30.75" customHeight="1">
      <c r="B113" s="921"/>
      <c r="C113" s="444" t="s">
        <v>252</v>
      </c>
      <c r="D113" s="452" t="s">
        <v>253</v>
      </c>
      <c r="E113" s="453">
        <f t="shared" ca="1" si="51"/>
        <v>0</v>
      </c>
      <c r="F113" s="453">
        <f t="shared" ca="1" si="52"/>
        <v>0.21229999999999999</v>
      </c>
      <c r="G113" s="453">
        <f ca="1">$F$113-$E$113</f>
        <v>0.21229999999999999</v>
      </c>
      <c r="H113" s="447" t="str">
        <f ca="1">IF(G113&gt;=0,"Yes✓",IF(F114&gt;=0,"Yes ✓","No ▲"))</f>
        <v>Yes✓</v>
      </c>
      <c r="I113" s="157">
        <f ca="1">IF($H$113="No ▲",1,0)</f>
        <v>0</v>
      </c>
      <c r="R113" s="655"/>
    </row>
    <row r="114" spans="2:18" s="25" customFormat="1">
      <c r="E114" s="455">
        <f ca="1">G108+G112</f>
        <v>0</v>
      </c>
      <c r="F114" s="432">
        <f ca="1">IF(G108&lt;0,0,($G$108+$G$112+$G$113))</f>
        <v>0.21229999999999999</v>
      </c>
      <c r="I114" s="428"/>
      <c r="R114" s="655"/>
    </row>
    <row r="115" spans="2:18" s="25" customFormat="1" ht="24.75" customHeight="1">
      <c r="B115" s="925" t="s">
        <v>254</v>
      </c>
      <c r="C115" s="639"/>
      <c r="D115" s="639"/>
      <c r="E115" s="639"/>
      <c r="F115" s="435">
        <f ca="1">$G$108</f>
        <v>0</v>
      </c>
      <c r="G115" s="432">
        <f ca="1">IF($G$108&lt;=0,0,($G$108+$G$112))</f>
        <v>0</v>
      </c>
      <c r="I115" s="428"/>
      <c r="R115" s="655"/>
    </row>
    <row r="116" spans="2:18" s="25" customFormat="1" ht="21.75" customHeight="1">
      <c r="B116" s="916" t="s">
        <v>255</v>
      </c>
      <c r="C116" s="917"/>
      <c r="D116" s="917"/>
      <c r="E116" s="917"/>
      <c r="F116" s="437">
        <f ca="1">IF($G$108&gt;0,($G$112+$G$108),$G$112)</f>
        <v>0</v>
      </c>
      <c r="G116" s="432">
        <f ca="1">IF($G$108&lt;=0,0,($G$108+$G$112+$G$113))</f>
        <v>0</v>
      </c>
      <c r="R116" s="655"/>
    </row>
    <row r="117" spans="2:18" s="25" customFormat="1" ht="24" customHeight="1">
      <c r="B117" s="918" t="s">
        <v>256</v>
      </c>
      <c r="C117" s="637"/>
      <c r="D117" s="637"/>
      <c r="E117" s="637"/>
      <c r="F117" s="436">
        <f ca="1">IF($F$116&gt;0,($F$116+$G$113),$G$113)</f>
        <v>0.21229999999999999</v>
      </c>
      <c r="G117" s="432"/>
      <c r="R117" s="655"/>
    </row>
    <row r="118" spans="2:18" s="25" customFormat="1">
      <c r="G118" s="432"/>
      <c r="R118" s="655"/>
    </row>
    <row r="119" spans="2:18" s="25" customFormat="1">
      <c r="R119" s="655"/>
    </row>
    <row r="120" spans="2:18" s="25" customFormat="1">
      <c r="R120" s="655"/>
    </row>
    <row r="121" spans="2:18" s="25" customFormat="1">
      <c r="R121" s="655"/>
    </row>
    <row r="122" spans="2:18" s="25" customFormat="1">
      <c r="R122" s="655"/>
    </row>
    <row r="123" spans="2:18" s="25" customFormat="1">
      <c r="R123" s="655"/>
    </row>
    <row r="124" spans="2:18" s="25" customFormat="1">
      <c r="R124" s="655"/>
    </row>
    <row r="125" spans="2:18" s="25" customFormat="1">
      <c r="R125" s="655"/>
    </row>
    <row r="126" spans="2:18" s="25" customFormat="1">
      <c r="R126" s="655"/>
    </row>
    <row r="127" spans="2:18" s="25" customFormat="1">
      <c r="R127" s="655"/>
    </row>
  </sheetData>
  <mergeCells count="273">
    <mergeCell ref="AR64:AX64"/>
    <mergeCell ref="T55:U55"/>
    <mergeCell ref="T56:U56"/>
    <mergeCell ref="T57:U57"/>
    <mergeCell ref="T58:U58"/>
    <mergeCell ref="T64:AD64"/>
    <mergeCell ref="AE64:AE65"/>
    <mergeCell ref="AQ64:AQ65"/>
    <mergeCell ref="AF64:AP64"/>
    <mergeCell ref="B117:E117"/>
    <mergeCell ref="B103:B113"/>
    <mergeCell ref="C103:C108"/>
    <mergeCell ref="C109:C112"/>
    <mergeCell ref="B115:E115"/>
    <mergeCell ref="T51:U51"/>
    <mergeCell ref="T52:U52"/>
    <mergeCell ref="T53:U53"/>
    <mergeCell ref="T54:U54"/>
    <mergeCell ref="B116:E116"/>
    <mergeCell ref="I60:N60"/>
    <mergeCell ref="I59:K59"/>
    <mergeCell ref="L59:N59"/>
    <mergeCell ref="J74:K74"/>
    <mergeCell ref="J75:K75"/>
    <mergeCell ref="M74:N74"/>
    <mergeCell ref="M75:N75"/>
    <mergeCell ref="M80:N80"/>
    <mergeCell ref="M81:N81"/>
    <mergeCell ref="T46:U46"/>
    <mergeCell ref="T47:U47"/>
    <mergeCell ref="T48:U48"/>
    <mergeCell ref="T49:U49"/>
    <mergeCell ref="T50:U50"/>
    <mergeCell ref="T26:U26"/>
    <mergeCell ref="T27:U27"/>
    <mergeCell ref="T28:U28"/>
    <mergeCell ref="T29:U29"/>
    <mergeCell ref="T30:U30"/>
    <mergeCell ref="T21:U21"/>
    <mergeCell ref="T22:U22"/>
    <mergeCell ref="T23:U23"/>
    <mergeCell ref="T24:U24"/>
    <mergeCell ref="T25:U25"/>
    <mergeCell ref="T16:U16"/>
    <mergeCell ref="T17:U17"/>
    <mergeCell ref="T18:U18"/>
    <mergeCell ref="T19:U19"/>
    <mergeCell ref="T20:U20"/>
    <mergeCell ref="T11:U11"/>
    <mergeCell ref="T12:U12"/>
    <mergeCell ref="T13:U13"/>
    <mergeCell ref="T14:U14"/>
    <mergeCell ref="T15:U15"/>
    <mergeCell ref="B9:B10"/>
    <mergeCell ref="C9:E9"/>
    <mergeCell ref="F9:H10"/>
    <mergeCell ref="I9:K9"/>
    <mergeCell ref="L9:N9"/>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25:E25"/>
    <mergeCell ref="F25:H25"/>
    <mergeCell ref="D15:E15"/>
    <mergeCell ref="F15:H15"/>
    <mergeCell ref="AH9:AH10"/>
    <mergeCell ref="D19:E19"/>
    <mergeCell ref="F19:H19"/>
    <mergeCell ref="D20:E20"/>
    <mergeCell ref="F20:H20"/>
    <mergeCell ref="D21:E21"/>
    <mergeCell ref="D13:E13"/>
    <mergeCell ref="F13:H13"/>
    <mergeCell ref="D14:E14"/>
    <mergeCell ref="F14:H14"/>
    <mergeCell ref="T9:V9"/>
    <mergeCell ref="T10:U10"/>
    <mergeCell ref="F21:H21"/>
    <mergeCell ref="D16:E16"/>
    <mergeCell ref="F16:H16"/>
    <mergeCell ref="D17:E17"/>
    <mergeCell ref="F17:H17"/>
    <mergeCell ref="D18:E18"/>
    <mergeCell ref="F18:H18"/>
    <mergeCell ref="D22:E22"/>
    <mergeCell ref="F22:H22"/>
    <mergeCell ref="D23:E23"/>
    <mergeCell ref="F23:H23"/>
    <mergeCell ref="D24:E24"/>
    <mergeCell ref="F24:H24"/>
    <mergeCell ref="I33:N33"/>
    <mergeCell ref="D26:E26"/>
    <mergeCell ref="F26:H26"/>
    <mergeCell ref="D27:E27"/>
    <mergeCell ref="F27:H27"/>
    <mergeCell ref="I40:K40"/>
    <mergeCell ref="L40:N40"/>
    <mergeCell ref="F41:G41"/>
    <mergeCell ref="I41:K41"/>
    <mergeCell ref="L41:N41"/>
    <mergeCell ref="D28:E28"/>
    <mergeCell ref="F28:H28"/>
    <mergeCell ref="D29:E29"/>
    <mergeCell ref="F29:H29"/>
    <mergeCell ref="D30:E30"/>
    <mergeCell ref="F30:H30"/>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T45:U45"/>
    <mergeCell ref="AB37:AD37"/>
    <mergeCell ref="AE37:AF37"/>
    <mergeCell ref="AG37:AH37"/>
    <mergeCell ref="B37:B38"/>
    <mergeCell ref="C37:D37"/>
    <mergeCell ref="E37:G37"/>
    <mergeCell ref="H37:H38"/>
    <mergeCell ref="I37:K38"/>
    <mergeCell ref="L37:N38"/>
    <mergeCell ref="F38:G38"/>
    <mergeCell ref="I44:K44"/>
    <mergeCell ref="F42:G42"/>
    <mergeCell ref="I42:K42"/>
    <mergeCell ref="L42:N42"/>
    <mergeCell ref="F40:G40"/>
    <mergeCell ref="W37:X37"/>
    <mergeCell ref="Y37:AA37"/>
    <mergeCell ref="T42:U42"/>
    <mergeCell ref="T43:U43"/>
    <mergeCell ref="T44:U44"/>
    <mergeCell ref="T37:V37"/>
    <mergeCell ref="T38:U38"/>
    <mergeCell ref="T39:U39"/>
    <mergeCell ref="T40:U40"/>
    <mergeCell ref="T41:U41"/>
    <mergeCell ref="F51:G51"/>
    <mergeCell ref="I51:K51"/>
    <mergeCell ref="L51:N51"/>
    <mergeCell ref="F48:G48"/>
    <mergeCell ref="I48:K48"/>
    <mergeCell ref="L48:N48"/>
    <mergeCell ref="F49:G49"/>
    <mergeCell ref="I49:K49"/>
    <mergeCell ref="L49:N49"/>
    <mergeCell ref="L44:N44"/>
    <mergeCell ref="F45:G45"/>
    <mergeCell ref="I45:K45"/>
    <mergeCell ref="L45:N45"/>
    <mergeCell ref="F50:G50"/>
    <mergeCell ref="I50:K50"/>
    <mergeCell ref="L50:N50"/>
    <mergeCell ref="F58:G58"/>
    <mergeCell ref="I58:K58"/>
    <mergeCell ref="L58:N58"/>
    <mergeCell ref="F56:G56"/>
    <mergeCell ref="I56:K56"/>
    <mergeCell ref="L56:N56"/>
    <mergeCell ref="F57:G57"/>
    <mergeCell ref="I57:K57"/>
    <mergeCell ref="L57:N57"/>
    <mergeCell ref="F66:G66"/>
    <mergeCell ref="F67:G67"/>
    <mergeCell ref="F68:G68"/>
    <mergeCell ref="F69:G69"/>
    <mergeCell ref="F70:G70"/>
    <mergeCell ref="F52:G52"/>
    <mergeCell ref="I52:K52"/>
    <mergeCell ref="L52:N52"/>
    <mergeCell ref="F53:G53"/>
    <mergeCell ref="I53:K53"/>
    <mergeCell ref="L53:N5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R89:R97"/>
    <mergeCell ref="J84:K84"/>
    <mergeCell ref="J85:K85"/>
    <mergeCell ref="B64:B65"/>
    <mergeCell ref="F65:G65"/>
    <mergeCell ref="J83:K83"/>
    <mergeCell ref="J70:K70"/>
    <mergeCell ref="J71:K71"/>
    <mergeCell ref="M70:N70"/>
    <mergeCell ref="M84:N84"/>
    <mergeCell ref="M85:N85"/>
    <mergeCell ref="J82:K82"/>
    <mergeCell ref="J78:K78"/>
    <mergeCell ref="J79:K79"/>
    <mergeCell ref="F78:G78"/>
    <mergeCell ref="F79:G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3:G73"/>
    <mergeCell ref="F81:G81"/>
    <mergeCell ref="F82:G82"/>
    <mergeCell ref="M71:N71"/>
    <mergeCell ref="J76:K76"/>
    <mergeCell ref="J77:K77"/>
    <mergeCell ref="M76:N76"/>
    <mergeCell ref="M77:N77"/>
    <mergeCell ref="F76:G76"/>
    <mergeCell ref="F77:G77"/>
    <mergeCell ref="F80:G80"/>
    <mergeCell ref="F71:G71"/>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s>
  <conditionalFormatting sqref="E66:E85">
    <cfRule type="cellIs" dxfId="125" priority="68" operator="equal">
      <formula>"Enhancement not possible"</formula>
    </cfRule>
  </conditionalFormatting>
  <conditionalFormatting sqref="F39:F58">
    <cfRule type="expression" dxfId="122" priority="91">
      <formula>ISNUMBER(SEARCH(F39,E39,1))</formula>
    </cfRule>
    <cfRule type="containsBlanks" dxfId="121" priority="90">
      <formula>LEN(TRIM(F39))=0</formula>
    </cfRule>
  </conditionalFormatting>
  <conditionalFormatting sqref="F66:G85">
    <cfRule type="expression" dxfId="119" priority="67">
      <formula>$D66=""</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K11:K30">
    <cfRule type="expression" dxfId="103" priority="98">
      <formula>$AI11="Enhancement not possible"</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37" operator="containsText" id="{00000000-000E-0000-0500-000089000000}">
            <xm:f>NOT(ISERROR(SEARCH("Trading Rules Satisfied",E97)))</xm:f>
            <x14:dxf>
              <font>
                <color theme="1"/>
              </font>
              <fill>
                <patternFill>
                  <bgColor theme="9" tint="0.39994506668294322"/>
                </patternFill>
              </fill>
            </x14:dxf>
          </x14:cfRule>
          <x14:cfRule type="containsText" priority="138" operator="containsText" id="{00000000-000E-0000-0500-00008A000000}">
            <xm:f>NOT(ISERROR(SEARCH("Error - Trading Rules Not Satisfied",E97)))</xm:f>
            <x14:dxf>
              <font>
                <color theme="0"/>
              </font>
              <fill>
                <patternFill>
                  <bgColor rgb="FFC00000"/>
                </patternFill>
              </fill>
            </x14:dxf>
          </x14:cfRule>
          <xm:sqref>E97</xm:sqref>
        </x14:conditionalFormatting>
        <x14:conditionalFormatting xmlns:xm="http://schemas.microsoft.com/office/excel/2006/main">
          <x14:cfRule type="containsText" priority="4" operator="containsText" id="{00000000-000E-0000-0500-000004000000}">
            <xm:f>NOT(ISERROR(SEARCH("not possible",F66)))</xm:f>
            <x14:dxf>
              <font>
                <color theme="0"/>
              </font>
              <fill>
                <patternFill>
                  <bgColor rgb="FFC00000"/>
                </patternFill>
              </fill>
            </x14:dxf>
          </x14:cfRule>
          <xm:sqref>F66:G85</xm:sqref>
        </x14:conditionalFormatting>
        <x14:conditionalFormatting xmlns:xm="http://schemas.microsoft.com/office/excel/2006/main">
          <x14:cfRule type="containsText" priority="1" operator="containsText" id="{00000000-000E-0000-0500-000001000000}">
            <xm:f>NOT(ISERROR(SEARCH("No",H103)))</xm:f>
            <x14:dxf>
              <font>
                <color theme="0"/>
              </font>
              <fill>
                <patternFill>
                  <bgColor rgb="FFC00000"/>
                </patternFill>
              </fill>
            </x14:dxf>
          </x14:cfRule>
          <x14:cfRule type="containsText" priority="2" operator="containsText" id="{00000000-000E-0000-0500-000002000000}">
            <xm:f>NOT(ISERROR(SEARCH("Yes",H103)))</xm:f>
            <x14:dxf>
              <font>
                <color theme="1"/>
              </font>
              <fill>
                <patternFill>
                  <bgColor theme="9" tint="0.39994506668294322"/>
                </patternFill>
              </fill>
            </x14:dxf>
          </x14:cfRule>
          <xm:sqref>H103 H109 H113</xm:sqref>
        </x14:conditionalFormatting>
        <x14:conditionalFormatting xmlns:xm="http://schemas.microsoft.com/office/excel/2006/main">
          <x14:cfRule type="containsText" priority="96" operator="containsText" id="{00000000-000E-0000-0500-000060000000}">
            <xm:f>NOT(ISERROR(SEARCH("error",I32)))</xm:f>
            <x14:dxf>
              <font>
                <color theme="0"/>
              </font>
              <fill>
                <patternFill>
                  <bgColor rgb="FFC00000"/>
                </patternFill>
              </fill>
            </x14:dxf>
          </x14:cfRule>
          <x14:cfRule type="containsText" priority="97" operator="containsText" id="{00000000-000E-0000-0500-000061000000}">
            <xm:f>NOT(ISERROR(SEARCH("acceptable",I32)))</xm:f>
            <x14:dxf>
              <font>
                <color auto="1"/>
              </font>
              <fill>
                <patternFill>
                  <bgColor theme="9" tint="0.39994506668294322"/>
                </patternFill>
              </fill>
            </x14:dxf>
          </x14:cfRule>
          <xm:sqref>I32:N32</xm:sqref>
        </x14:conditionalFormatting>
        <x14:conditionalFormatting xmlns:xm="http://schemas.microsoft.com/office/excel/2006/main">
          <x14:cfRule type="containsText" priority="11" operator="containsText" id="{00000000-000E-0000-0500-00000B000000}">
            <xm:f>NOT(ISERROR(SEARCH("✓",I33)))</xm:f>
            <x14:dxf>
              <fill>
                <patternFill>
                  <bgColor theme="9" tint="0.39994506668294322"/>
                </patternFill>
              </fill>
            </x14:dxf>
          </x14:cfRule>
          <x14:cfRule type="containsText" priority="10" operator="containsText" id="{00000000-000E-0000-0500-00000A000000}">
            <xm:f>NOT(ISERROR(SEARCH("▲",I33)))</xm:f>
            <x14:dxf>
              <font>
                <color theme="0"/>
              </font>
              <fill>
                <patternFill>
                  <bgColor rgb="FFC00000"/>
                </patternFill>
              </fill>
            </x14:dxf>
          </x14:cfRule>
          <xm:sqref>I33:N33</xm:sqref>
        </x14:conditionalFormatting>
        <x14:conditionalFormatting xmlns:xm="http://schemas.microsoft.com/office/excel/2006/main">
          <x14:cfRule type="containsText" priority="8" operator="containsText" id="{00000000-000E-0000-0500-000008000000}">
            <xm:f>NOT(ISERROR(SEARCH("▲",I60)))</xm:f>
            <x14:dxf>
              <font>
                <color theme="0"/>
              </font>
              <fill>
                <patternFill>
                  <bgColor rgb="FFC00000"/>
                </patternFill>
              </fill>
            </x14:dxf>
          </x14:cfRule>
          <x14:cfRule type="containsText" priority="9" operator="containsText" id="{00000000-000E-0000-0500-000009000000}">
            <xm:f>NOT(ISERROR(SEARCH("✓",I60)))</xm:f>
            <x14:dxf>
              <fill>
                <patternFill>
                  <bgColor theme="9" tint="0.39994506668294322"/>
                </patternFill>
              </fill>
            </x14:dxf>
          </x14:cfRule>
          <xm:sqref>I60:N60</xm:sqref>
        </x14:conditionalFormatting>
        <x14:conditionalFormatting xmlns:xm="http://schemas.microsoft.com/office/excel/2006/main">
          <x14:cfRule type="containsText" priority="116" operator="containsText" id="{00000000-000E-0000-0500-000074000000}">
            <xm:f>NOT(ISERROR(SEARCH("Errors Present On Sheet",J2)))</xm:f>
            <x14:dxf>
              <font>
                <color theme="0"/>
              </font>
              <fill>
                <patternFill>
                  <bgColor rgb="FFC00000"/>
                </patternFill>
              </fill>
              <border>
                <left style="thin">
                  <color rgb="FFFF0000"/>
                </left>
                <right style="thin">
                  <color rgb="FFFF0000"/>
                </right>
                <top style="thin">
                  <color rgb="FFFF0000"/>
                </top>
                <bottom style="thin">
                  <color rgb="FFFF0000"/>
                </bottom>
              </border>
            </x14:dxf>
          </x14:cfRule>
          <xm:sqref>J2 O6:P6</xm:sqref>
        </x14:conditionalFormatting>
        <x14:conditionalFormatting xmlns:xm="http://schemas.microsoft.com/office/excel/2006/main">
          <x14:cfRule type="containsText" priority="93" operator="containsText" id="{00000000-000E-0000-0500-00005D000000}">
            <xm:f>NOT(ISERROR(SEARCH("Technical",J2)))</xm:f>
            <x14:dxf>
              <font>
                <color theme="0"/>
              </font>
              <fill>
                <patternFill>
                  <bgColor rgb="FFC00000"/>
                </patternFill>
              </fill>
            </x14:dxf>
          </x14:cfRule>
          <xm:sqref>J2</xm:sqref>
        </x14:conditionalFormatting>
        <x14:conditionalFormatting xmlns:xm="http://schemas.microsoft.com/office/excel/2006/main">
          <x14:cfRule type="containsText" priority="5" operator="containsText" id="{00000000-000E-0000-0500-000005000000}">
            <xm:f>NOT(ISERROR(SEARCH("▲",J66)))</xm:f>
            <x14:dxf>
              <font>
                <color theme="0"/>
              </font>
              <fill>
                <patternFill>
                  <bgColor rgb="FFC00000"/>
                </patternFill>
              </fill>
            </x14:dxf>
          </x14:cfRule>
          <xm:sqref>J66:L85</xm:sqref>
        </x14:conditionalFormatting>
        <x14:conditionalFormatting xmlns:xm="http://schemas.microsoft.com/office/excel/2006/main">
          <x14:cfRule type="containsText" priority="34" operator="containsText" id="{00000000-000E-0000-0500-000022000000}">
            <xm:f>NOT(ISERROR(SEARCH("▲",L11)))</xm:f>
            <x14:dxf>
              <font>
                <color theme="0"/>
              </font>
              <fill>
                <patternFill>
                  <bgColor rgb="FFC00000"/>
                </patternFill>
              </fill>
            </x14:dxf>
          </x14:cfRule>
          <x14:cfRule type="containsText" priority="35" operator="containsText" id="{00000000-000E-0000-0500-000023000000}">
            <xm:f>NOT(ISERROR(SEARCH("value",L11)))</xm:f>
            <x14:dxf>
              <font>
                <color theme="0"/>
              </font>
              <fill>
                <patternFill>
                  <bgColor rgb="FFC00000"/>
                </patternFill>
              </fill>
            </x14:dxf>
          </x14:cfRule>
          <xm:sqref>L11:L30</xm:sqref>
        </x14:conditionalFormatting>
        <x14:conditionalFormatting xmlns:xm="http://schemas.microsoft.com/office/excel/2006/main">
          <x14:cfRule type="containsText" priority="22" operator="containsText" id="{00000000-000E-0000-0500-000016000000}">
            <xm:f>NOT(ISERROR(SEARCH("▲",L39)))</xm:f>
            <x14:dxf>
              <font>
                <color theme="0"/>
              </font>
              <fill>
                <patternFill>
                  <bgColor rgb="FFC00000"/>
                </patternFill>
              </fill>
            </x14:dxf>
          </x14:cfRule>
          <x14:cfRule type="containsText" priority="23" operator="containsText" id="{00000000-000E-0000-0500-000017000000}">
            <xm:f>NOT(ISERROR(SEARCH("value",L39)))</xm:f>
            <x14:dxf>
              <font>
                <color theme="0"/>
              </font>
              <fill>
                <patternFill>
                  <bgColor rgb="FFC00000"/>
                </patternFill>
              </fill>
            </x14:dxf>
          </x14:cfRule>
          <xm:sqref>L39:N58</xm:sqref>
        </x14:conditionalFormatting>
        <x14:conditionalFormatting xmlns:xm="http://schemas.microsoft.com/office/excel/2006/main">
          <x14:cfRule type="containsText" priority="36" operator="containsText" id="{00000000-000E-0000-0500-000024000000}">
            <xm:f>NOT(ISERROR(SEARCH("error",M11)))</xm:f>
            <x14:dxf>
              <font>
                <color theme="0"/>
              </font>
              <fill>
                <patternFill>
                  <bgColor rgb="FFC00000"/>
                </patternFill>
              </fill>
            </x14:dxf>
          </x14:cfRule>
          <xm:sqref>M11:N30</xm:sqref>
        </x14:conditionalFormatting>
        <x14:conditionalFormatting xmlns:xm="http://schemas.microsoft.com/office/excel/2006/main">
          <x14:cfRule type="containsText" priority="6" operator="containsText" id="{00000000-000E-0000-0500-000006000000}">
            <xm:f>NOT(ISERROR(SEARCH("Error",M66)))</xm:f>
            <x14:dxf>
              <font>
                <color theme="0"/>
              </font>
              <fill>
                <patternFill>
                  <bgColor rgb="FFC00000"/>
                </patternFill>
              </fill>
            </x14:dxf>
          </x14:cfRule>
          <xm:sqref>M66:N85</xm:sqref>
        </x14:conditionalFormatting>
        <x14:conditionalFormatting xmlns:xm="http://schemas.microsoft.com/office/excel/2006/main">
          <x14:cfRule type="containsText" priority="33" operator="containsText" id="{00000000-000E-0000-0500-000021000000}">
            <xm:f>NOT(ISERROR(SEARCH("▲",N11)))</xm:f>
            <x14:dxf>
              <font>
                <color theme="0"/>
              </font>
              <fill>
                <patternFill>
                  <bgColor rgb="FFC00000"/>
                </patternFill>
              </fill>
            </x14:dxf>
          </x14:cfRule>
          <xm:sqref>N11:N30</xm:sqref>
        </x14:conditionalFormatting>
        <x14:conditionalFormatting xmlns:xm="http://schemas.microsoft.com/office/excel/2006/main">
          <x14:cfRule type="containsText" priority="3" operator="containsText" id="{00000000-000E-0000-0500-000003000000}">
            <xm:f>NOT(ISERROR(SEARCH("▲",P1)))</xm:f>
            <x14:dxf>
              <font>
                <color theme="0"/>
              </font>
              <fill>
                <patternFill>
                  <bgColor rgb="FFC00000"/>
                </patternFill>
              </fill>
            </x14:dxf>
          </x14:cfRule>
          <xm:sqref>P1:P5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33CC"/>
  </sheetPr>
  <dimension ref="A1:CC130"/>
  <sheetViews>
    <sheetView workbookViewId="0"/>
  </sheetViews>
  <sheetFormatPr defaultColWidth="0" defaultRowHeight="15"/>
  <cols>
    <col min="1" max="1" width="4.5703125" customWidth="1"/>
    <col min="2" max="2" width="14.855468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85546875" customWidth="1"/>
    <col min="22" max="22" width="20.7109375" customWidth="1"/>
    <col min="23" max="23" width="23.85546875" customWidth="1"/>
    <col min="24" max="24" width="16.85546875" customWidth="1"/>
    <col min="25" max="25" width="14" hidden="1" customWidth="1"/>
    <col min="26" max="26" width="21.28515625" hidden="1" customWidth="1"/>
    <col min="27" max="27" width="14" hidden="1" customWidth="1"/>
    <col min="28" max="28" width="33.7109375" customWidth="1"/>
    <col min="29" max="30" width="32.85546875" customWidth="1"/>
    <col min="31" max="31" width="18.85546875" customWidth="1"/>
    <col min="32" max="32" width="23.85546875" customWidth="1"/>
    <col min="33" max="33" width="16.85546875" customWidth="1"/>
    <col min="34" max="34" width="35.7109375" customWidth="1"/>
    <col min="35" max="35" width="76.28515625" customWidth="1"/>
    <col min="36" max="36" width="23.5703125" style="467" customWidth="1"/>
    <col min="37" max="37" width="4.42578125" style="467" hidden="1" customWidth="1"/>
    <col min="38" max="38" width="5.28515625" style="467" hidden="1" customWidth="1"/>
    <col min="39" max="39" width="6.7109375" style="467" hidden="1" customWidth="1"/>
    <col min="40" max="40" width="12.28515625" style="467" customWidth="1"/>
    <col min="41" max="41" width="34.140625" customWidth="1"/>
    <col min="42" max="42" width="19.7109375" customWidth="1"/>
    <col min="43" max="43" width="16.28515625" customWidth="1"/>
    <col min="44" max="47" width="27.140625" customWidth="1"/>
    <col min="48" max="48" width="21.28515625" customWidth="1"/>
    <col min="49" max="49" width="37.5703125" customWidth="1"/>
    <col min="50" max="50" width="68.140625" customWidth="1"/>
    <col min="51" max="51" width="26.42578125" customWidth="1"/>
    <col min="52" max="52" width="24.42578125" customWidth="1"/>
    <col min="53" max="81" width="8.7109375" customWidth="1"/>
    <col min="82" max="16384" width="8.7109375" hidden="1"/>
  </cols>
  <sheetData>
    <row r="1" spans="1:44" s="25" customFormat="1" ht="15.75" customHeight="1">
      <c r="I1" s="52"/>
      <c r="J1" s="52"/>
      <c r="K1" s="52"/>
      <c r="L1" s="52"/>
      <c r="M1" s="52"/>
      <c r="N1" s="52"/>
      <c r="O1" s="154" t="s">
        <v>64</v>
      </c>
      <c r="P1" s="276">
        <f>IFERROR(SUM(AE11:AE30), "Error ▲")</f>
        <v>0</v>
      </c>
      <c r="R1" s="655" t="s">
        <v>65</v>
      </c>
      <c r="T1" s="26"/>
      <c r="AJ1" s="157"/>
      <c r="AK1" s="157"/>
      <c r="AL1" s="157"/>
      <c r="AM1" s="157"/>
      <c r="AN1" s="157"/>
    </row>
    <row r="2" spans="1:44" s="25" customFormat="1" ht="19.899999999999999" customHeight="1">
      <c r="B2" s="80" t="s">
        <v>66</v>
      </c>
      <c r="C2" s="828" t="str">
        <f>IF('2. Site Details'!D4="","Enter site name on 2. Site Details",'2. Site Details'!D4)</f>
        <v>H08-0036-26 Polytunnel Site</v>
      </c>
      <c r="D2" s="829"/>
      <c r="F2" s="773" t="s">
        <v>257</v>
      </c>
      <c r="G2" s="774"/>
      <c r="H2" s="775"/>
      <c r="I2" s="81"/>
      <c r="J2" s="787" t="str">
        <f t="array" aca="1" ref="J2" ca="1">IFERROR(IF(OR((ISNUMBER(SEARCH("▲",A7:Q101)))),"Input Errors Present On Sheet - Red Cells Or ▲ Highlight Errors","All Key Rules Satisfied ✓ "),"Technical Errors On Sheet ▲")</f>
        <v xml:space="preserve">All Key Rules Satisfied ✓ </v>
      </c>
      <c r="K2" s="787"/>
      <c r="L2" s="787"/>
      <c r="M2" s="787"/>
      <c r="N2" s="81"/>
      <c r="O2" s="83" t="s">
        <v>68</v>
      </c>
      <c r="P2" s="276">
        <f>IFERROR(N31, "Error ▲")</f>
        <v>0</v>
      </c>
      <c r="R2" s="655"/>
      <c r="T2" s="26"/>
      <c r="AJ2" s="157"/>
      <c r="AK2" s="157"/>
      <c r="AL2" s="157"/>
      <c r="AM2" s="157"/>
      <c r="AN2" s="157"/>
    </row>
    <row r="3" spans="1:44" s="25" customFormat="1" ht="19.899999999999999" customHeight="1">
      <c r="B3" s="82" t="s">
        <v>16</v>
      </c>
      <c r="C3" s="830" t="s">
        <v>258</v>
      </c>
      <c r="D3" s="831"/>
      <c r="F3" s="776"/>
      <c r="G3" s="777"/>
      <c r="H3" s="778"/>
      <c r="I3" s="81"/>
      <c r="J3" s="787"/>
      <c r="K3" s="787"/>
      <c r="L3" s="787"/>
      <c r="M3" s="787"/>
      <c r="N3" s="81"/>
      <c r="O3" s="83" t="s">
        <v>70</v>
      </c>
      <c r="P3" s="276">
        <f>IFERROR(L59, "Error ▲")</f>
        <v>0</v>
      </c>
      <c r="R3" s="655"/>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71</v>
      </c>
      <c r="P4" s="276">
        <f>IFERROR(L86, "Error ▲")</f>
        <v>0</v>
      </c>
      <c r="R4" s="655"/>
      <c r="T4" s="26"/>
      <c r="AJ4" s="157"/>
      <c r="AK4" s="157"/>
      <c r="AL4" s="157"/>
      <c r="AM4" s="157"/>
      <c r="AN4" s="157"/>
    </row>
    <row r="5" spans="1:44" s="25" customFormat="1" ht="19.899999999999999" customHeight="1">
      <c r="A5" s="85"/>
      <c r="F5" s="776"/>
      <c r="G5" s="777"/>
      <c r="H5" s="778"/>
      <c r="I5" s="81"/>
      <c r="J5" s="787"/>
      <c r="K5" s="787"/>
      <c r="L5" s="787"/>
      <c r="M5" s="787"/>
      <c r="N5" s="81"/>
      <c r="O5" s="86" t="s">
        <v>72</v>
      </c>
      <c r="P5" s="277">
        <f>IFERROR(P1+L59+L86-L31, "Error ▲")</f>
        <v>0</v>
      </c>
      <c r="R5" s="655"/>
      <c r="T5" s="26"/>
      <c r="AJ5" s="157"/>
      <c r="AK5" s="157"/>
      <c r="AL5" s="157"/>
      <c r="AM5" s="157"/>
      <c r="AN5" s="157"/>
    </row>
    <row r="6" spans="1:44" s="25" customFormat="1" ht="13.15" customHeight="1">
      <c r="A6" s="85"/>
      <c r="F6" s="779"/>
      <c r="G6" s="780"/>
      <c r="H6" s="781"/>
      <c r="I6" s="52"/>
      <c r="J6" s="52"/>
      <c r="K6" s="26"/>
      <c r="L6" s="52"/>
      <c r="M6" s="52"/>
      <c r="N6" s="52"/>
      <c r="O6" s="87"/>
      <c r="P6" s="26"/>
      <c r="R6" s="655"/>
      <c r="T6" s="26"/>
      <c r="AJ6" s="157"/>
      <c r="AK6" s="157"/>
      <c r="AL6" s="157"/>
      <c r="AM6" s="157"/>
      <c r="AN6" s="157"/>
      <c r="AR6" s="157"/>
    </row>
    <row r="7" spans="1:44" s="25" customFormat="1" ht="19.149999999999999" customHeight="1">
      <c r="B7" s="57" t="s">
        <v>73</v>
      </c>
      <c r="D7" s="88"/>
      <c r="H7" s="26"/>
      <c r="K7" s="26"/>
      <c r="L7" s="494"/>
      <c r="M7" s="30"/>
      <c r="N7" s="30"/>
      <c r="R7" s="655"/>
      <c r="T7" s="26"/>
      <c r="AJ7" s="157"/>
      <c r="AK7" s="157"/>
      <c r="AL7" s="157"/>
      <c r="AM7" s="157"/>
      <c r="AN7" s="157"/>
      <c r="AR7" s="157"/>
    </row>
    <row r="8" spans="1:44" s="25" customFormat="1" ht="10.9" customHeight="1">
      <c r="A8" s="89"/>
      <c r="R8" s="655"/>
      <c r="AJ8" s="157"/>
      <c r="AK8" s="157"/>
      <c r="AL8" s="157"/>
      <c r="AM8" s="157"/>
      <c r="AN8" s="157"/>
      <c r="AR8" s="157"/>
    </row>
    <row r="9" spans="1:44" s="25" customFormat="1" ht="29.65" customHeight="1">
      <c r="A9" s="89"/>
      <c r="B9" s="736" t="s">
        <v>60</v>
      </c>
      <c r="C9" s="726" t="s">
        <v>74</v>
      </c>
      <c r="D9" s="727"/>
      <c r="E9" s="728"/>
      <c r="F9" s="757" t="s">
        <v>75</v>
      </c>
      <c r="G9" s="758"/>
      <c r="H9" s="759"/>
      <c r="I9" s="726" t="s">
        <v>259</v>
      </c>
      <c r="J9" s="727"/>
      <c r="K9" s="728"/>
      <c r="L9" s="754" t="s">
        <v>77</v>
      </c>
      <c r="M9" s="755"/>
      <c r="N9" s="756"/>
      <c r="O9" s="754" t="s">
        <v>78</v>
      </c>
      <c r="P9" s="756"/>
      <c r="R9" s="655"/>
      <c r="T9" s="683" t="s">
        <v>79</v>
      </c>
      <c r="U9" s="684"/>
      <c r="V9" s="685"/>
      <c r="W9" s="934" t="s">
        <v>80</v>
      </c>
      <c r="X9" s="936"/>
      <c r="Y9" s="764"/>
      <c r="Z9" s="764"/>
      <c r="AA9" s="764"/>
      <c r="AB9" s="934" t="s">
        <v>81</v>
      </c>
      <c r="AC9" s="935"/>
      <c r="AD9" s="936"/>
      <c r="AE9" s="683" t="s">
        <v>82</v>
      </c>
      <c r="AF9" s="684"/>
      <c r="AG9" s="685"/>
      <c r="AH9" s="683" t="s">
        <v>83</v>
      </c>
      <c r="AI9" s="915" t="s">
        <v>84</v>
      </c>
      <c r="AJ9" s="973" t="s">
        <v>260</v>
      </c>
      <c r="AK9" s="157"/>
      <c r="AL9" s="157"/>
      <c r="AM9" s="157"/>
      <c r="AN9" s="429"/>
      <c r="AR9" s="157"/>
    </row>
    <row r="10" spans="1:44" s="25" customFormat="1" ht="31.5">
      <c r="A10" s="89"/>
      <c r="B10" s="737"/>
      <c r="C10" s="86" t="s">
        <v>85</v>
      </c>
      <c r="D10" s="893" t="s">
        <v>86</v>
      </c>
      <c r="E10" s="894"/>
      <c r="F10" s="980"/>
      <c r="G10" s="981"/>
      <c r="H10" s="982"/>
      <c r="I10" s="86" t="s">
        <v>230</v>
      </c>
      <c r="J10" s="196" t="s">
        <v>231</v>
      </c>
      <c r="K10" s="90" t="s">
        <v>232</v>
      </c>
      <c r="L10" s="86" t="s">
        <v>233</v>
      </c>
      <c r="M10" s="196" t="s">
        <v>234</v>
      </c>
      <c r="N10" s="90" t="s">
        <v>92</v>
      </c>
      <c r="O10" s="86" t="s">
        <v>93</v>
      </c>
      <c r="P10" s="90" t="s">
        <v>94</v>
      </c>
      <c r="R10" s="655"/>
      <c r="T10" s="681" t="s">
        <v>95</v>
      </c>
      <c r="U10" s="682"/>
      <c r="V10" s="92" t="s">
        <v>96</v>
      </c>
      <c r="W10" s="371" t="s">
        <v>97</v>
      </c>
      <c r="X10" s="367" t="s">
        <v>96</v>
      </c>
      <c r="Y10" s="369"/>
      <c r="Z10" s="363"/>
      <c r="AA10" s="363"/>
      <c r="AB10" s="352" t="s">
        <v>81</v>
      </c>
      <c r="AC10" s="352" t="s">
        <v>81</v>
      </c>
      <c r="AD10" s="367" t="s">
        <v>98</v>
      </c>
      <c r="AE10" s="91" t="s">
        <v>99</v>
      </c>
      <c r="AF10" s="49" t="s">
        <v>100</v>
      </c>
      <c r="AG10" s="92" t="s">
        <v>101</v>
      </c>
      <c r="AH10" s="681"/>
      <c r="AI10" s="972"/>
      <c r="AJ10" s="973"/>
      <c r="AK10" s="157"/>
      <c r="AL10" s="157"/>
      <c r="AM10" s="157"/>
      <c r="AO10" s="429"/>
      <c r="AR10" s="157" t="s">
        <v>261</v>
      </c>
    </row>
    <row r="11" spans="1:44" s="25" customFormat="1" ht="105">
      <c r="A11" s="89"/>
      <c r="B11" s="269">
        <v>1</v>
      </c>
      <c r="C11" s="553" t="s">
        <v>262</v>
      </c>
      <c r="D11" s="673"/>
      <c r="E11" s="673"/>
      <c r="F11" s="952"/>
      <c r="G11" s="952"/>
      <c r="H11" s="952"/>
      <c r="I11" s="468"/>
      <c r="J11" s="301"/>
      <c r="K11" s="302"/>
      <c r="L11" s="463" t="str">
        <f>IF(D11="","",IFERROR(IF(I11="","",((I11/1000)*V11*X11)*AD11*AJ11),"This intervention is not permitted within the SSM ▲"))</f>
        <v/>
      </c>
      <c r="M11" s="406" t="str">
        <f>IF(I11="","",IF(J11+K11&gt;I11,"Length Error ▲",I11-J11-K11))</f>
        <v/>
      </c>
      <c r="N11" s="463" t="s">
        <v>1077</v>
      </c>
      <c r="O11" s="68"/>
      <c r="P11" s="144"/>
      <c r="R11" s="655"/>
      <c r="T11" s="664" t="str">
        <f>IF(D11="","",VLOOKUP(D11,'9. All Habitats + Multipliers'!$C$4:$K$102,5,FALSE))</f>
        <v/>
      </c>
      <c r="U11" s="665"/>
      <c r="V11" s="96" t="str">
        <f>IF(T11="","",VLOOKUP(T11,'11. Lists'!$B$47:$D$49,2,FALSE))</f>
        <v/>
      </c>
      <c r="W11" s="93" t="str">
        <f>IF(D11="","",VLOOKUP(D11,'10. Condition and Temporal'!$B$6:$C$103,2,FALSE))</f>
        <v/>
      </c>
      <c r="X11" s="96" t="str">
        <f>IF(W11="","",VLOOKUP(W11,'11. Lists'!$F$47:$G$51,2,FALSE))</f>
        <v/>
      </c>
      <c r="Y11" s="370"/>
      <c r="Z11" s="341"/>
      <c r="AA11" s="368"/>
      <c r="AB11" s="95" t="str">
        <f>IF(F11="","",F11)</f>
        <v/>
      </c>
      <c r="AC11" s="95" t="str">
        <f>IF(AB11="","",VLOOKUP(AB11,'11. Lists'!$F$36:$H$38,2,FALSE))</f>
        <v/>
      </c>
      <c r="AD11" s="94" t="str">
        <f>IF(AB11="","",VLOOKUP(AB11,'11. Lists'!$F$36:$H$38,3,FALSE))</f>
        <v/>
      </c>
      <c r="AE11" s="296" t="str">
        <f>IF(D11="","",((J11/1000)*V11*X11)*AD11*AJ11)</f>
        <v/>
      </c>
      <c r="AF11" s="297" t="str">
        <f>IF(D11="","",((K11/1000)*V11*X11)*AD11*AJ11)</f>
        <v/>
      </c>
      <c r="AG11" s="298" t="str">
        <f>IF(D11="","",M11)</f>
        <v/>
      </c>
      <c r="AH11" s="93" t="str">
        <f>IF(T11="","",VLOOKUP(T11,'11. Lists'!$B$47:$D$49,3,FALSE))</f>
        <v/>
      </c>
      <c r="AI11" s="342" t="str">
        <f>IF(D11="","",VLOOKUP(D11,'10. Condition and Temporal'!$B$6:$L$103,4,FALSE))</f>
        <v/>
      </c>
      <c r="AJ11" s="473" t="str">
        <f t="array" ref="AJ11:AK30">IF($D$11:$E$30="Culvert","0.68","1")</f>
        <v>1</v>
      </c>
      <c r="AK11" s="157" t="str">
        <v>1</v>
      </c>
      <c r="AL11" s="157"/>
      <c r="AM11" s="157"/>
      <c r="AN11" s="429"/>
      <c r="AR11" s="157" t="str">
        <f>IF(D11="","",IFERROR(IF(I11="","",((I11/1000)*V11*X11)*AD11),"This intervention is not permitted within the SSM ▲"))</f>
        <v/>
      </c>
    </row>
    <row r="12" spans="1:44" s="25" customFormat="1" ht="15.75">
      <c r="B12" s="263">
        <v>2</v>
      </c>
      <c r="C12" s="554"/>
      <c r="D12" s="673"/>
      <c r="E12" s="673"/>
      <c r="F12" s="952"/>
      <c r="G12" s="952"/>
      <c r="H12" s="952"/>
      <c r="I12" s="469"/>
      <c r="J12" s="304"/>
      <c r="K12" s="305"/>
      <c r="L12" s="464" t="str">
        <f t="shared" ref="L12:L30" si="0">IF(D12="","",IFERROR(IF(I12="","",((I12/1000)*V12*X12)*AD12*AJ12),"This intervention is not permitted within the SSM ▲"))</f>
        <v/>
      </c>
      <c r="M12" s="299" t="str">
        <f>IF(I12="","",IF(J12+K12&gt;I12,"Length Error ▲",I12-J12-K12))</f>
        <v/>
      </c>
      <c r="N12" s="464" t="str">
        <f t="shared" ref="N12:N30" si="1">IFERROR(IF(I12="","",IF(M12="Length Error ▲","Length Error ▲",((M12/1000)*V12*X12)*AD12*AJ12)),"This intervention is not permitted within the SSM ▲")</f>
        <v/>
      </c>
      <c r="O12" s="68"/>
      <c r="P12" s="3"/>
      <c r="R12" s="655"/>
      <c r="T12" s="664" t="str">
        <f>IF(D12="","",VLOOKUP(D12,'9. All Habitats + Multipliers'!$C$4:$K$102,5,FALSE))</f>
        <v/>
      </c>
      <c r="U12" s="665"/>
      <c r="V12" s="96" t="str">
        <f>IF(T12="","",VLOOKUP(T12,'11. Lists'!$B$47:$D$49,2,FALSE))</f>
        <v/>
      </c>
      <c r="W12" s="93" t="str">
        <f>IF(D12="","",VLOOKUP(D12,'10. Condition and Temporal'!$B$6:$C$103,2,FALSE))</f>
        <v/>
      </c>
      <c r="X12" s="96" t="str">
        <f>IF(W12="","",VLOOKUP(W12,'11. Lists'!$F$47:$G$51,2,FALSE))</f>
        <v/>
      </c>
      <c r="Y12" s="370"/>
      <c r="Z12" s="341"/>
      <c r="AA12" s="368"/>
      <c r="AB12" s="95" t="str">
        <f>IF(F12="","",F12)</f>
        <v/>
      </c>
      <c r="AC12" s="95" t="str">
        <f>IF(AB12="","",VLOOKUP(AB12,'11. Lists'!$F$36:$H$38,2,FALSE))</f>
        <v/>
      </c>
      <c r="AD12" s="94" t="str">
        <f>IF(AB12="","",VLOOKUP(AB12,'11. Lists'!$F$36:$H$38,3,FALSE))</f>
        <v/>
      </c>
      <c r="AE12" s="296" t="str">
        <f t="shared" ref="AE12:AE30" si="2">IF(D12="","",((J12/1000)*V12*X12)*AD12*AJ12)</f>
        <v/>
      </c>
      <c r="AF12" s="297" t="str">
        <f t="shared" ref="AF12:AF30" si="3">IF(D12="","",((K12/1000)*V12*X12)*AD12*AJ12)</f>
        <v/>
      </c>
      <c r="AG12" s="298" t="str">
        <f t="shared" ref="AG12:AG30" si="4">IF(D12="","",M12)</f>
        <v/>
      </c>
      <c r="AH12" s="93" t="str">
        <f>IF(T12="","",VLOOKUP(T12,'11. Lists'!$B$47:$D$49,3,FALSE))</f>
        <v/>
      </c>
      <c r="AI12" s="342" t="str">
        <f>IF(D12="","",VLOOKUP(D12,'10. Condition and Temporal'!$B$6:$L$103,4,FALSE))</f>
        <v/>
      </c>
      <c r="AJ12" s="473" t="str">
        <v>1</v>
      </c>
      <c r="AK12" s="157" t="str">
        <v>1</v>
      </c>
      <c r="AL12" s="157"/>
      <c r="AM12" s="157"/>
      <c r="AN12" s="429"/>
      <c r="AR12" s="157" t="str">
        <f t="shared" ref="AR12:AR30" si="5">IF(D12="","",IFERROR(IF(I12="","",((I12/1000)*V12*X12)*AD12),"This intervention is not permitted within the SSM ▲"))</f>
        <v/>
      </c>
    </row>
    <row r="13" spans="1:44" s="25" customFormat="1" ht="15.75">
      <c r="B13" s="263">
        <v>3</v>
      </c>
      <c r="C13" s="554"/>
      <c r="D13" s="673"/>
      <c r="E13" s="673"/>
      <c r="F13" s="952"/>
      <c r="G13" s="952"/>
      <c r="H13" s="952"/>
      <c r="I13" s="469"/>
      <c r="J13" s="304"/>
      <c r="K13" s="305"/>
      <c r="L13" s="464" t="str">
        <f t="shared" si="0"/>
        <v/>
      </c>
      <c r="M13" s="299" t="str">
        <f t="shared" ref="M13:M29" si="6">IF(I13="","",IF(J13+K13&gt;I13,"Length Error ▲",I13-J13-K13))</f>
        <v/>
      </c>
      <c r="N13" s="464" t="str">
        <f t="shared" si="1"/>
        <v/>
      </c>
      <c r="O13" s="68"/>
      <c r="P13" s="3"/>
      <c r="R13" s="655"/>
      <c r="T13" s="664" t="str">
        <f>IF(D13="","",VLOOKUP(D13,'9. All Habitats + Multipliers'!$C$4:$K$102,5,FALSE))</f>
        <v/>
      </c>
      <c r="U13" s="665"/>
      <c r="V13" s="96" t="str">
        <f>IF(T13="","",VLOOKUP(T13,'11. Lists'!$B$47:$D$49,2,FALSE))</f>
        <v/>
      </c>
      <c r="W13" s="93" t="str">
        <f>IF(D13="","",VLOOKUP(D13,'10. Condition and Temporal'!$B$6:$C$103,2,FALSE))</f>
        <v/>
      </c>
      <c r="X13" s="96" t="str">
        <f>IF(W13="","",VLOOKUP(W13,'11. Lists'!$F$47:$G$51,2,FALSE))</f>
        <v/>
      </c>
      <c r="Y13" s="370"/>
      <c r="Z13" s="341"/>
      <c r="AA13" s="368"/>
      <c r="AB13" s="95" t="str">
        <f t="shared" ref="AB13:AB30" si="7">IF(F13="","",F13)</f>
        <v/>
      </c>
      <c r="AC13" s="95" t="str">
        <f>IF(AB13="","",VLOOKUP(AB13,'11. Lists'!$F$36:$H$38,2,FALSE))</f>
        <v/>
      </c>
      <c r="AD13" s="94" t="str">
        <f>IF(AB13="","",VLOOKUP(AB13,'11. Lists'!$F$36:$H$38,3,FALSE))</f>
        <v/>
      </c>
      <c r="AE13" s="296" t="str">
        <f t="shared" si="2"/>
        <v/>
      </c>
      <c r="AF13" s="297" t="str">
        <f t="shared" si="3"/>
        <v/>
      </c>
      <c r="AG13" s="298" t="str">
        <f t="shared" si="4"/>
        <v/>
      </c>
      <c r="AH13" s="93" t="str">
        <f>IF(T13="","",VLOOKUP(T13,'11. Lists'!$B$47:$D$49,3,FALSE))</f>
        <v/>
      </c>
      <c r="AI13" s="342" t="str">
        <f>IF(D13="","",VLOOKUP(D13,'10. Condition and Temporal'!$B$6:$L$103,4,FALSE))</f>
        <v/>
      </c>
      <c r="AJ13" s="473" t="str">
        <v>1</v>
      </c>
      <c r="AK13" s="157" t="str">
        <v>1</v>
      </c>
      <c r="AL13" s="157"/>
      <c r="AM13" s="157"/>
      <c r="AN13" s="429"/>
      <c r="AR13" s="157" t="str">
        <f t="shared" si="5"/>
        <v/>
      </c>
    </row>
    <row r="14" spans="1:44" s="25" customFormat="1" ht="15.75">
      <c r="B14" s="263">
        <v>4</v>
      </c>
      <c r="C14" s="554"/>
      <c r="D14" s="673"/>
      <c r="E14" s="673"/>
      <c r="F14" s="952"/>
      <c r="G14" s="952"/>
      <c r="H14" s="952"/>
      <c r="I14" s="469"/>
      <c r="J14" s="304"/>
      <c r="K14" s="305"/>
      <c r="L14" s="464" t="str">
        <f t="shared" si="0"/>
        <v/>
      </c>
      <c r="M14" s="299" t="str">
        <f t="shared" si="6"/>
        <v/>
      </c>
      <c r="N14" s="464" t="str">
        <f t="shared" si="1"/>
        <v/>
      </c>
      <c r="O14" s="68"/>
      <c r="P14" s="3"/>
      <c r="R14" s="655"/>
      <c r="T14" s="664" t="str">
        <f>IF(D14="","",VLOOKUP(D14,'9. All Habitats + Multipliers'!$C$4:$K$102,5,FALSE))</f>
        <v/>
      </c>
      <c r="U14" s="665"/>
      <c r="V14" s="96" t="str">
        <f>IF(T14="","",VLOOKUP(T14,'11. Lists'!$B$47:$D$49,2,FALSE))</f>
        <v/>
      </c>
      <c r="W14" s="93" t="str">
        <f>IF(D14="","",VLOOKUP(D14,'10. Condition and Temporal'!$B$6:$C$103,2,FALSE))</f>
        <v/>
      </c>
      <c r="X14" s="96" t="str">
        <f>IF(W14="","",VLOOKUP(W14,'11. Lists'!$F$47:$G$51,2,FALSE))</f>
        <v/>
      </c>
      <c r="Y14" s="370"/>
      <c r="Z14" s="341"/>
      <c r="AA14" s="368"/>
      <c r="AB14" s="95" t="str">
        <f t="shared" si="7"/>
        <v/>
      </c>
      <c r="AC14" s="95" t="str">
        <f>IF(AB14="","",VLOOKUP(AB14,'11. Lists'!$F$36:$H$38,2,FALSE))</f>
        <v/>
      </c>
      <c r="AD14" s="94" t="str">
        <f>IF(AB14="","",VLOOKUP(AB14,'11. Lists'!$F$36:$H$38,3,FALSE))</f>
        <v/>
      </c>
      <c r="AE14" s="296" t="str">
        <f t="shared" si="2"/>
        <v/>
      </c>
      <c r="AF14" s="297" t="str">
        <f t="shared" si="3"/>
        <v/>
      </c>
      <c r="AG14" s="298" t="str">
        <f t="shared" si="4"/>
        <v/>
      </c>
      <c r="AH14" s="93" t="str">
        <f>IF(T14="","",VLOOKUP(T14,'11. Lists'!$B$47:$D$49,3,FALSE))</f>
        <v/>
      </c>
      <c r="AI14" s="342" t="str">
        <f>IF(D14="","",VLOOKUP(D14,'10. Condition and Temporal'!$B$6:$L$103,4,FALSE))</f>
        <v/>
      </c>
      <c r="AJ14" s="473" t="str">
        <v>1</v>
      </c>
      <c r="AK14" s="157" t="str">
        <v>1</v>
      </c>
      <c r="AL14" s="157"/>
      <c r="AM14" s="157"/>
      <c r="AN14" s="429"/>
      <c r="AR14" s="157" t="str">
        <f t="shared" si="5"/>
        <v/>
      </c>
    </row>
    <row r="15" spans="1:44" s="25" customFormat="1" ht="15.75">
      <c r="B15" s="263">
        <v>5</v>
      </c>
      <c r="C15" s="554"/>
      <c r="D15" s="673"/>
      <c r="E15" s="673"/>
      <c r="F15" s="952"/>
      <c r="G15" s="952"/>
      <c r="H15" s="952"/>
      <c r="I15" s="469"/>
      <c r="J15" s="304"/>
      <c r="K15" s="305"/>
      <c r="L15" s="464" t="str">
        <f t="shared" si="0"/>
        <v/>
      </c>
      <c r="M15" s="299" t="str">
        <f t="shared" si="6"/>
        <v/>
      </c>
      <c r="N15" s="464" t="str">
        <f t="shared" si="1"/>
        <v/>
      </c>
      <c r="O15" s="68"/>
      <c r="P15" s="3"/>
      <c r="R15" s="655"/>
      <c r="T15" s="664" t="str">
        <f>IF(D15="","",VLOOKUP(D15,'9. All Habitats + Multipliers'!$C$4:$K$102,5,FALSE))</f>
        <v/>
      </c>
      <c r="U15" s="665"/>
      <c r="V15" s="96" t="str">
        <f>IF(T15="","",VLOOKUP(T15,'11. Lists'!$B$47:$D$49,2,FALSE))</f>
        <v/>
      </c>
      <c r="W15" s="93" t="str">
        <f>IF(D15="","",VLOOKUP(D15,'10. Condition and Temporal'!$B$6:$C$103,2,FALSE))</f>
        <v/>
      </c>
      <c r="X15" s="96" t="str">
        <f>IF(W15="","",VLOOKUP(W15,'11. Lists'!$F$47:$G$51,2,FALSE))</f>
        <v/>
      </c>
      <c r="Y15" s="370"/>
      <c r="Z15" s="341"/>
      <c r="AA15" s="368"/>
      <c r="AB15" s="95" t="str">
        <f t="shared" si="7"/>
        <v/>
      </c>
      <c r="AC15" s="95" t="str">
        <f>IF(AB15="","",VLOOKUP(AB15,'11. Lists'!$F$36:$H$38,2,FALSE))</f>
        <v/>
      </c>
      <c r="AD15" s="94" t="str">
        <f>IF(AB15="","",VLOOKUP(AB15,'11. Lists'!$F$36:$H$38,3,FALSE))</f>
        <v/>
      </c>
      <c r="AE15" s="296" t="str">
        <f t="shared" si="2"/>
        <v/>
      </c>
      <c r="AF15" s="297" t="str">
        <f t="shared" si="3"/>
        <v/>
      </c>
      <c r="AG15" s="298" t="str">
        <f t="shared" si="4"/>
        <v/>
      </c>
      <c r="AH15" s="93" t="str">
        <f>IF(T15="","",VLOOKUP(T15,'11. Lists'!$B$47:$D$49,3,FALSE))</f>
        <v/>
      </c>
      <c r="AI15" s="342" t="str">
        <f>IF(D15="","",VLOOKUP(D15,'10. Condition and Temporal'!$B$6:$L$103,4,FALSE))</f>
        <v/>
      </c>
      <c r="AJ15" s="473" t="str">
        <v>1</v>
      </c>
      <c r="AK15" s="157" t="str">
        <v>1</v>
      </c>
      <c r="AL15" s="157"/>
      <c r="AM15" s="157"/>
      <c r="AN15" s="429"/>
      <c r="AR15" s="157" t="str">
        <f t="shared" si="5"/>
        <v/>
      </c>
    </row>
    <row r="16" spans="1:44" s="25" customFormat="1" ht="15.75">
      <c r="B16" s="263">
        <v>6</v>
      </c>
      <c r="C16" s="554"/>
      <c r="D16" s="673"/>
      <c r="E16" s="673"/>
      <c r="F16" s="952"/>
      <c r="G16" s="952"/>
      <c r="H16" s="952"/>
      <c r="I16" s="469"/>
      <c r="J16" s="304"/>
      <c r="K16" s="305"/>
      <c r="L16" s="464" t="str">
        <f t="shared" si="0"/>
        <v/>
      </c>
      <c r="M16" s="299" t="str">
        <f t="shared" si="6"/>
        <v/>
      </c>
      <c r="N16" s="464" t="str">
        <f t="shared" si="1"/>
        <v/>
      </c>
      <c r="O16" s="68"/>
      <c r="P16" s="3"/>
      <c r="R16" s="655"/>
      <c r="T16" s="664" t="str">
        <f>IF(D16="","",VLOOKUP(D16,'9. All Habitats + Multipliers'!$C$4:$K$102,5,FALSE))</f>
        <v/>
      </c>
      <c r="U16" s="665"/>
      <c r="V16" s="96" t="str">
        <f>IF(T16="","",VLOOKUP(T16,'11. Lists'!$B$47:$D$49,2,FALSE))</f>
        <v/>
      </c>
      <c r="W16" s="93" t="str">
        <f>IF(D16="","",VLOOKUP(D16,'10. Condition and Temporal'!$B$6:$C$103,2,FALSE))</f>
        <v/>
      </c>
      <c r="X16" s="96" t="str">
        <f>IF(W16="","",VLOOKUP(W16,'11. Lists'!$F$47:$G$51,2,FALSE))</f>
        <v/>
      </c>
      <c r="Y16" s="370"/>
      <c r="Z16" s="341"/>
      <c r="AA16" s="368"/>
      <c r="AB16" s="95" t="str">
        <f t="shared" si="7"/>
        <v/>
      </c>
      <c r="AC16" s="95" t="str">
        <f>IF(AB16="","",VLOOKUP(AB16,'11. Lists'!$F$36:$H$38,2,FALSE))</f>
        <v/>
      </c>
      <c r="AD16" s="94" t="str">
        <f>IF(AB16="","",VLOOKUP(AB16,'11. Lists'!$F$36:$H$38,3,FALSE))</f>
        <v/>
      </c>
      <c r="AE16" s="296" t="str">
        <f t="shared" si="2"/>
        <v/>
      </c>
      <c r="AF16" s="297" t="str">
        <f t="shared" si="3"/>
        <v/>
      </c>
      <c r="AG16" s="298" t="str">
        <f t="shared" si="4"/>
        <v/>
      </c>
      <c r="AH16" s="93" t="str">
        <f>IF(T16="","",VLOOKUP(T16,'11. Lists'!$B$47:$D$49,3,FALSE))</f>
        <v/>
      </c>
      <c r="AI16" s="342" t="str">
        <f>IF(D16="","",VLOOKUP(D16,'10. Condition and Temporal'!$B$6:$L$103,4,FALSE))</f>
        <v/>
      </c>
      <c r="AJ16" s="473" t="str">
        <v>1</v>
      </c>
      <c r="AK16" s="157" t="str">
        <v>1</v>
      </c>
      <c r="AL16" s="157"/>
      <c r="AM16" s="157"/>
      <c r="AN16" s="429"/>
      <c r="AR16" s="157" t="str">
        <f t="shared" si="5"/>
        <v/>
      </c>
    </row>
    <row r="17" spans="2:44" s="25" customFormat="1" ht="15.75">
      <c r="B17" s="263">
        <v>7</v>
      </c>
      <c r="C17" s="554"/>
      <c r="D17" s="673"/>
      <c r="E17" s="673"/>
      <c r="F17" s="952"/>
      <c r="G17" s="952"/>
      <c r="H17" s="952"/>
      <c r="I17" s="469"/>
      <c r="J17" s="304"/>
      <c r="K17" s="305"/>
      <c r="L17" s="464" t="str">
        <f t="shared" si="0"/>
        <v/>
      </c>
      <c r="M17" s="299" t="str">
        <f t="shared" si="6"/>
        <v/>
      </c>
      <c r="N17" s="464" t="str">
        <f t="shared" si="1"/>
        <v/>
      </c>
      <c r="O17" s="68"/>
      <c r="P17" s="3"/>
      <c r="R17" s="655"/>
      <c r="T17" s="664" t="str">
        <f>IF(D17="","",VLOOKUP(D17,'9. All Habitats + Multipliers'!$C$4:$K$102,5,FALSE))</f>
        <v/>
      </c>
      <c r="U17" s="665"/>
      <c r="V17" s="96" t="str">
        <f>IF(T17="","",VLOOKUP(T17,'11. Lists'!$B$47:$D$49,2,FALSE))</f>
        <v/>
      </c>
      <c r="W17" s="93" t="str">
        <f>IF(D17="","",VLOOKUP(D17,'10. Condition and Temporal'!$B$6:$C$103,2,FALSE))</f>
        <v/>
      </c>
      <c r="X17" s="96" t="str">
        <f>IF(W17="","",VLOOKUP(W17,'11. Lists'!$F$47:$G$51,2,FALSE))</f>
        <v/>
      </c>
      <c r="Y17" s="370"/>
      <c r="Z17" s="341"/>
      <c r="AA17" s="368"/>
      <c r="AB17" s="95" t="str">
        <f t="shared" si="7"/>
        <v/>
      </c>
      <c r="AC17" s="95" t="str">
        <f>IF(AB17="","",VLOOKUP(AB17,'11. Lists'!$F$36:$H$38,2,FALSE))</f>
        <v/>
      </c>
      <c r="AD17" s="94" t="str">
        <f>IF(AB17="","",VLOOKUP(AB17,'11. Lists'!$F$36:$H$38,3,FALSE))</f>
        <v/>
      </c>
      <c r="AE17" s="296" t="str">
        <f t="shared" si="2"/>
        <v/>
      </c>
      <c r="AF17" s="297" t="str">
        <f t="shared" si="3"/>
        <v/>
      </c>
      <c r="AG17" s="298" t="str">
        <f t="shared" si="4"/>
        <v/>
      </c>
      <c r="AH17" s="93" t="str">
        <f>IF(T17="","",VLOOKUP(T17,'11. Lists'!$B$47:$D$49,3,FALSE))</f>
        <v/>
      </c>
      <c r="AI17" s="342" t="str">
        <f>IF(D17="","",VLOOKUP(D17,'10. Condition and Temporal'!$B$6:$L$103,4,FALSE))</f>
        <v/>
      </c>
      <c r="AJ17" s="473" t="str">
        <v>1</v>
      </c>
      <c r="AK17" s="157" t="str">
        <v>1</v>
      </c>
      <c r="AL17" s="157"/>
      <c r="AM17" s="157"/>
      <c r="AN17" s="429"/>
      <c r="AR17" s="157" t="str">
        <f t="shared" si="5"/>
        <v/>
      </c>
    </row>
    <row r="18" spans="2:44" s="25" customFormat="1" ht="15.75">
      <c r="B18" s="263">
        <v>8</v>
      </c>
      <c r="C18" s="554"/>
      <c r="D18" s="673"/>
      <c r="E18" s="673"/>
      <c r="F18" s="952"/>
      <c r="G18" s="952"/>
      <c r="H18" s="952"/>
      <c r="I18" s="469"/>
      <c r="J18" s="304"/>
      <c r="K18" s="305"/>
      <c r="L18" s="464" t="str">
        <f t="shared" si="0"/>
        <v/>
      </c>
      <c r="M18" s="299" t="str">
        <f t="shared" si="6"/>
        <v/>
      </c>
      <c r="N18" s="464" t="str">
        <f t="shared" si="1"/>
        <v/>
      </c>
      <c r="O18" s="68"/>
      <c r="P18" s="3"/>
      <c r="R18" s="655"/>
      <c r="T18" s="664" t="str">
        <f>IF(D18="","",VLOOKUP(D18,'9. All Habitats + Multipliers'!$C$4:$K$102,5,FALSE))</f>
        <v/>
      </c>
      <c r="U18" s="665"/>
      <c r="V18" s="96" t="str">
        <f>IF(T18="","",VLOOKUP(T18,'11. Lists'!$B$47:$D$49,2,FALSE))</f>
        <v/>
      </c>
      <c r="W18" s="93" t="str">
        <f>IF(D18="","",VLOOKUP(D18,'10. Condition and Temporal'!$B$6:$C$103,2,FALSE))</f>
        <v/>
      </c>
      <c r="X18" s="96" t="str">
        <f>IF(W18="","",VLOOKUP(W18,'11. Lists'!$F$47:$G$51,2,FALSE))</f>
        <v/>
      </c>
      <c r="Y18" s="370"/>
      <c r="Z18" s="341"/>
      <c r="AA18" s="368"/>
      <c r="AB18" s="95" t="str">
        <f t="shared" si="7"/>
        <v/>
      </c>
      <c r="AC18" s="95" t="str">
        <f>IF(AB18="","",VLOOKUP(AB18,'11. Lists'!$F$36:$H$38,2,FALSE))</f>
        <v/>
      </c>
      <c r="AD18" s="94" t="str">
        <f>IF(AB18="","",VLOOKUP(AB18,'11. Lists'!$F$36:$H$38,3,FALSE))</f>
        <v/>
      </c>
      <c r="AE18" s="296" t="str">
        <f t="shared" si="2"/>
        <v/>
      </c>
      <c r="AF18" s="297" t="str">
        <f t="shared" si="3"/>
        <v/>
      </c>
      <c r="AG18" s="298" t="str">
        <f t="shared" si="4"/>
        <v/>
      </c>
      <c r="AH18" s="93" t="str">
        <f>IF(T18="","",VLOOKUP(T18,'11. Lists'!$B$47:$D$49,3,FALSE))</f>
        <v/>
      </c>
      <c r="AI18" s="342" t="str">
        <f>IF(D18="","",VLOOKUP(D18,'10. Condition and Temporal'!$B$6:$L$103,4,FALSE))</f>
        <v/>
      </c>
      <c r="AJ18" s="473" t="str">
        <v>1</v>
      </c>
      <c r="AK18" s="157" t="str">
        <v>1</v>
      </c>
      <c r="AL18" s="157"/>
      <c r="AM18" s="157"/>
      <c r="AN18" s="429"/>
      <c r="AR18" s="157" t="str">
        <f t="shared" si="5"/>
        <v/>
      </c>
    </row>
    <row r="19" spans="2:44" s="25" customFormat="1" ht="15.75">
      <c r="B19" s="263">
        <v>9</v>
      </c>
      <c r="C19" s="554"/>
      <c r="D19" s="673"/>
      <c r="E19" s="673"/>
      <c r="F19" s="952"/>
      <c r="G19" s="952"/>
      <c r="H19" s="952"/>
      <c r="I19" s="469"/>
      <c r="J19" s="304"/>
      <c r="K19" s="305"/>
      <c r="L19" s="464" t="str">
        <f t="shared" si="0"/>
        <v/>
      </c>
      <c r="M19" s="299" t="str">
        <f t="shared" si="6"/>
        <v/>
      </c>
      <c r="N19" s="464" t="str">
        <f t="shared" si="1"/>
        <v/>
      </c>
      <c r="O19" s="68"/>
      <c r="P19" s="3"/>
      <c r="R19" s="655"/>
      <c r="T19" s="664" t="str">
        <f>IF(D19="","",VLOOKUP(D19,'9. All Habitats + Multipliers'!$C$4:$K$102,5,FALSE))</f>
        <v/>
      </c>
      <c r="U19" s="665"/>
      <c r="V19" s="96" t="str">
        <f>IF(T19="","",VLOOKUP(T19,'11. Lists'!$B$47:$D$49,2,FALSE))</f>
        <v/>
      </c>
      <c r="W19" s="93" t="str">
        <f>IF(D19="","",VLOOKUP(D19,'10. Condition and Temporal'!$B$6:$C$103,2,FALSE))</f>
        <v/>
      </c>
      <c r="X19" s="96" t="str">
        <f>IF(W19="","",VLOOKUP(W19,'11. Lists'!$F$47:$G$51,2,FALSE))</f>
        <v/>
      </c>
      <c r="Y19" s="370"/>
      <c r="Z19" s="341"/>
      <c r="AA19" s="368"/>
      <c r="AB19" s="95" t="str">
        <f t="shared" si="7"/>
        <v/>
      </c>
      <c r="AC19" s="95" t="str">
        <f>IF(AB19="","",VLOOKUP(AB19,'11. Lists'!$F$36:$H$38,2,FALSE))</f>
        <v/>
      </c>
      <c r="AD19" s="94" t="str">
        <f>IF(AB19="","",VLOOKUP(AB19,'11. Lists'!$F$36:$H$38,3,FALSE))</f>
        <v/>
      </c>
      <c r="AE19" s="296" t="str">
        <f t="shared" si="2"/>
        <v/>
      </c>
      <c r="AF19" s="297" t="str">
        <f t="shared" si="3"/>
        <v/>
      </c>
      <c r="AG19" s="298" t="str">
        <f t="shared" si="4"/>
        <v/>
      </c>
      <c r="AH19" s="93" t="str">
        <f>IF(T19="","",VLOOKUP(T19,'11. Lists'!$B$47:$D$49,3,FALSE))</f>
        <v/>
      </c>
      <c r="AI19" s="342" t="str">
        <f>IF(D19="","",VLOOKUP(D19,'10. Condition and Temporal'!$B$6:$L$103,4,FALSE))</f>
        <v/>
      </c>
      <c r="AJ19" s="473" t="str">
        <v>1</v>
      </c>
      <c r="AK19" s="157" t="str">
        <v>1</v>
      </c>
      <c r="AL19" s="157"/>
      <c r="AM19" s="157"/>
      <c r="AN19" s="429"/>
      <c r="AR19" s="157" t="str">
        <f t="shared" si="5"/>
        <v/>
      </c>
    </row>
    <row r="20" spans="2:44" s="25" customFormat="1" ht="15.75">
      <c r="B20" s="263">
        <v>10</v>
      </c>
      <c r="C20" s="554"/>
      <c r="D20" s="673"/>
      <c r="E20" s="673"/>
      <c r="F20" s="952"/>
      <c r="G20" s="952"/>
      <c r="H20" s="952"/>
      <c r="I20" s="469"/>
      <c r="J20" s="304"/>
      <c r="K20" s="305"/>
      <c r="L20" s="464" t="str">
        <f t="shared" si="0"/>
        <v/>
      </c>
      <c r="M20" s="299" t="str">
        <f t="shared" si="6"/>
        <v/>
      </c>
      <c r="N20" s="464" t="str">
        <f t="shared" si="1"/>
        <v/>
      </c>
      <c r="O20" s="68"/>
      <c r="P20" s="8"/>
      <c r="R20" s="655"/>
      <c r="T20" s="664" t="str">
        <f>IF(D20="","",VLOOKUP(D20,'9. All Habitats + Multipliers'!$C$4:$K$102,5,FALSE))</f>
        <v/>
      </c>
      <c r="U20" s="665"/>
      <c r="V20" s="96" t="str">
        <f>IF(T20="","",VLOOKUP(T20,'11. Lists'!$B$47:$D$49,2,FALSE))</f>
        <v/>
      </c>
      <c r="W20" s="93" t="str">
        <f>IF(D20="","",VLOOKUP(D20,'10. Condition and Temporal'!$B$6:$C$103,2,FALSE))</f>
        <v/>
      </c>
      <c r="X20" s="96" t="str">
        <f>IF(W20="","",VLOOKUP(W20,'11. Lists'!$F$47:$G$51,2,FALSE))</f>
        <v/>
      </c>
      <c r="Y20" s="370"/>
      <c r="Z20" s="341"/>
      <c r="AA20" s="368"/>
      <c r="AB20" s="95" t="str">
        <f t="shared" si="7"/>
        <v/>
      </c>
      <c r="AC20" s="95" t="str">
        <f>IF(AB20="","",VLOOKUP(AB20,'11. Lists'!$F$36:$H$38,2,FALSE))</f>
        <v/>
      </c>
      <c r="AD20" s="94" t="str">
        <f>IF(AB20="","",VLOOKUP(AB20,'11. Lists'!$F$36:$H$38,3,FALSE))</f>
        <v/>
      </c>
      <c r="AE20" s="296" t="str">
        <f t="shared" si="2"/>
        <v/>
      </c>
      <c r="AF20" s="297" t="str">
        <f t="shared" si="3"/>
        <v/>
      </c>
      <c r="AG20" s="298" t="str">
        <f t="shared" si="4"/>
        <v/>
      </c>
      <c r="AH20" s="93" t="str">
        <f>IF(T20="","",VLOOKUP(T20,'11. Lists'!$B$47:$D$49,3,FALSE))</f>
        <v/>
      </c>
      <c r="AI20" s="342" t="str">
        <f>IF(D20="","",VLOOKUP(D20,'10. Condition and Temporal'!$B$6:$L$103,4,FALSE))</f>
        <v/>
      </c>
      <c r="AJ20" s="473" t="str">
        <v>1</v>
      </c>
      <c r="AK20" s="157" t="str">
        <v>1</v>
      </c>
      <c r="AL20" s="157"/>
      <c r="AM20" s="157"/>
      <c r="AN20" s="429"/>
      <c r="AR20" s="157" t="str">
        <f t="shared" si="5"/>
        <v/>
      </c>
    </row>
    <row r="21" spans="2:44" s="25" customFormat="1" ht="15.75">
      <c r="B21" s="263">
        <v>11</v>
      </c>
      <c r="C21" s="554"/>
      <c r="D21" s="673"/>
      <c r="E21" s="673"/>
      <c r="F21" s="952"/>
      <c r="G21" s="952"/>
      <c r="H21" s="952"/>
      <c r="I21" s="469"/>
      <c r="J21" s="304"/>
      <c r="K21" s="305"/>
      <c r="L21" s="464" t="str">
        <f t="shared" si="0"/>
        <v/>
      </c>
      <c r="M21" s="299" t="str">
        <f t="shared" si="6"/>
        <v/>
      </c>
      <c r="N21" s="464" t="str">
        <f t="shared" si="1"/>
        <v/>
      </c>
      <c r="O21" s="68"/>
      <c r="P21" s="8"/>
      <c r="R21" s="655"/>
      <c r="T21" s="664" t="str">
        <f>IF(D21="","",VLOOKUP(D21,'9. All Habitats + Multipliers'!$C$4:$K$102,5,FALSE))</f>
        <v/>
      </c>
      <c r="U21" s="665"/>
      <c r="V21" s="96" t="str">
        <f>IF(T21="","",VLOOKUP(T21,'11. Lists'!$B$47:$D$49,2,FALSE))</f>
        <v/>
      </c>
      <c r="W21" s="93" t="str">
        <f>IF(D21="","",VLOOKUP(D21,'10. Condition and Temporal'!$B$6:$C$103,2,FALSE))</f>
        <v/>
      </c>
      <c r="X21" s="96" t="str">
        <f>IF(W21="","",VLOOKUP(W21,'11. Lists'!$F$47:$G$51,2,FALSE))</f>
        <v/>
      </c>
      <c r="Y21" s="370"/>
      <c r="Z21" s="341"/>
      <c r="AA21" s="368"/>
      <c r="AB21" s="95" t="str">
        <f t="shared" si="7"/>
        <v/>
      </c>
      <c r="AC21" s="95" t="str">
        <f>IF(AB21="","",VLOOKUP(AB21,'11. Lists'!$F$36:$H$38,2,FALSE))</f>
        <v/>
      </c>
      <c r="AD21" s="94" t="str">
        <f>IF(AB21="","",VLOOKUP(AB21,'11. Lists'!$F$36:$H$38,3,FALSE))</f>
        <v/>
      </c>
      <c r="AE21" s="296" t="str">
        <f t="shared" si="2"/>
        <v/>
      </c>
      <c r="AF21" s="297" t="str">
        <f t="shared" si="3"/>
        <v/>
      </c>
      <c r="AG21" s="298" t="str">
        <f t="shared" si="4"/>
        <v/>
      </c>
      <c r="AH21" s="93" t="str">
        <f>IF(T21="","",VLOOKUP(T21,'11. Lists'!$B$47:$D$49,3,FALSE))</f>
        <v/>
      </c>
      <c r="AI21" s="342" t="str">
        <f>IF(D21="","",VLOOKUP(D21,'10. Condition and Temporal'!$B$6:$L$103,4,FALSE))</f>
        <v/>
      </c>
      <c r="AJ21" s="473" t="str">
        <v>1</v>
      </c>
      <c r="AK21" s="157" t="str">
        <v>1</v>
      </c>
      <c r="AL21" s="157"/>
      <c r="AM21" s="157"/>
      <c r="AN21" s="429"/>
      <c r="AR21" s="157" t="str">
        <f t="shared" si="5"/>
        <v/>
      </c>
    </row>
    <row r="22" spans="2:44" s="25" customFormat="1" ht="15.75">
      <c r="B22" s="263">
        <v>12</v>
      </c>
      <c r="C22" s="554"/>
      <c r="D22" s="673"/>
      <c r="E22" s="673"/>
      <c r="F22" s="952"/>
      <c r="G22" s="952"/>
      <c r="H22" s="952"/>
      <c r="I22" s="469"/>
      <c r="J22" s="304"/>
      <c r="K22" s="305"/>
      <c r="L22" s="464" t="str">
        <f t="shared" si="0"/>
        <v/>
      </c>
      <c r="M22" s="299" t="str">
        <f t="shared" si="6"/>
        <v/>
      </c>
      <c r="N22" s="464" t="str">
        <f t="shared" si="1"/>
        <v/>
      </c>
      <c r="O22" s="68"/>
      <c r="P22" s="8"/>
      <c r="R22" s="655"/>
      <c r="T22" s="664" t="str">
        <f>IF(D22="","",VLOOKUP(D22,'9. All Habitats + Multipliers'!$C$4:$K$102,5,FALSE))</f>
        <v/>
      </c>
      <c r="U22" s="665"/>
      <c r="V22" s="96" t="str">
        <f>IF(T22="","",VLOOKUP(T22,'11. Lists'!$B$47:$D$49,2,FALSE))</f>
        <v/>
      </c>
      <c r="W22" s="93" t="str">
        <f>IF(D22="","",VLOOKUP(D22,'10. Condition and Temporal'!$B$6:$C$103,2,FALSE))</f>
        <v/>
      </c>
      <c r="X22" s="96" t="str">
        <f>IF(W22="","",VLOOKUP(W22,'11. Lists'!$F$47:$G$51,2,FALSE))</f>
        <v/>
      </c>
      <c r="Y22" s="370"/>
      <c r="Z22" s="341"/>
      <c r="AA22" s="368"/>
      <c r="AB22" s="95" t="str">
        <f t="shared" si="7"/>
        <v/>
      </c>
      <c r="AC22" s="95" t="str">
        <f>IF(AB22="","",VLOOKUP(AB22,'11. Lists'!$F$36:$H$38,2,FALSE))</f>
        <v/>
      </c>
      <c r="AD22" s="94" t="str">
        <f>IF(AB22="","",VLOOKUP(AB22,'11. Lists'!$F$36:$H$38,3,FALSE))</f>
        <v/>
      </c>
      <c r="AE22" s="296" t="str">
        <f t="shared" si="2"/>
        <v/>
      </c>
      <c r="AF22" s="297" t="str">
        <f t="shared" si="3"/>
        <v/>
      </c>
      <c r="AG22" s="298" t="str">
        <f t="shared" si="4"/>
        <v/>
      </c>
      <c r="AH22" s="93" t="str">
        <f>IF(T22="","",VLOOKUP(T22,'11. Lists'!$B$47:$D$49,3,FALSE))</f>
        <v/>
      </c>
      <c r="AI22" s="342" t="str">
        <f>IF(D22="","",VLOOKUP(D22,'10. Condition and Temporal'!$B$6:$L$103,4,FALSE))</f>
        <v/>
      </c>
      <c r="AJ22" s="473" t="str">
        <v>1</v>
      </c>
      <c r="AK22" s="157" t="str">
        <v>1</v>
      </c>
      <c r="AL22" s="157"/>
      <c r="AM22" s="157"/>
      <c r="AN22" s="429"/>
      <c r="AR22" s="157" t="str">
        <f t="shared" si="5"/>
        <v/>
      </c>
    </row>
    <row r="23" spans="2:44" s="25" customFormat="1" ht="15.75">
      <c r="B23" s="263">
        <v>13</v>
      </c>
      <c r="C23" s="554"/>
      <c r="D23" s="673"/>
      <c r="E23" s="673"/>
      <c r="F23" s="952"/>
      <c r="G23" s="952"/>
      <c r="H23" s="952"/>
      <c r="I23" s="469"/>
      <c r="J23" s="304"/>
      <c r="K23" s="305"/>
      <c r="L23" s="464" t="str">
        <f t="shared" si="0"/>
        <v/>
      </c>
      <c r="M23" s="299" t="str">
        <f t="shared" si="6"/>
        <v/>
      </c>
      <c r="N23" s="464" t="str">
        <f t="shared" si="1"/>
        <v/>
      </c>
      <c r="O23" s="68"/>
      <c r="P23" s="8"/>
      <c r="R23" s="655"/>
      <c r="T23" s="664" t="str">
        <f>IF(D23="","",VLOOKUP(D23,'9. All Habitats + Multipliers'!$C$4:$K$102,5,FALSE))</f>
        <v/>
      </c>
      <c r="U23" s="665"/>
      <c r="V23" s="96" t="str">
        <f>IF(T23="","",VLOOKUP(T23,'11. Lists'!$B$47:$D$49,2,FALSE))</f>
        <v/>
      </c>
      <c r="W23" s="93" t="str">
        <f>IF(D23="","",VLOOKUP(D23,'10. Condition and Temporal'!$B$6:$C$103,2,FALSE))</f>
        <v/>
      </c>
      <c r="X23" s="96" t="str">
        <f>IF(W23="","",VLOOKUP(W23,'11. Lists'!$F$47:$G$51,2,FALSE))</f>
        <v/>
      </c>
      <c r="Y23" s="370"/>
      <c r="Z23" s="341"/>
      <c r="AA23" s="368"/>
      <c r="AB23" s="95" t="str">
        <f t="shared" si="7"/>
        <v/>
      </c>
      <c r="AC23" s="95" t="str">
        <f>IF(AB23="","",VLOOKUP(AB23,'11. Lists'!$F$36:$H$38,2,FALSE))</f>
        <v/>
      </c>
      <c r="AD23" s="94" t="str">
        <f>IF(AB23="","",VLOOKUP(AB23,'11. Lists'!$F$36:$H$38,3,FALSE))</f>
        <v/>
      </c>
      <c r="AE23" s="296" t="str">
        <f t="shared" si="2"/>
        <v/>
      </c>
      <c r="AF23" s="297" t="str">
        <f t="shared" si="3"/>
        <v/>
      </c>
      <c r="AG23" s="298" t="str">
        <f t="shared" si="4"/>
        <v/>
      </c>
      <c r="AH23" s="93" t="str">
        <f>IF(T23="","",VLOOKUP(T23,'11. Lists'!$B$47:$D$49,3,FALSE))</f>
        <v/>
      </c>
      <c r="AI23" s="342" t="str">
        <f>IF(D23="","",VLOOKUP(D23,'10. Condition and Temporal'!$B$6:$L$103,4,FALSE))</f>
        <v/>
      </c>
      <c r="AJ23" s="473" t="str">
        <v>1</v>
      </c>
      <c r="AK23" s="157" t="str">
        <v>1</v>
      </c>
      <c r="AL23" s="157"/>
      <c r="AM23" s="157"/>
      <c r="AN23" s="429"/>
      <c r="AR23" s="157" t="str">
        <f t="shared" si="5"/>
        <v/>
      </c>
    </row>
    <row r="24" spans="2:44" s="25" customFormat="1" ht="15.75">
      <c r="B24" s="263">
        <v>14</v>
      </c>
      <c r="C24" s="554"/>
      <c r="D24" s="673"/>
      <c r="E24" s="673"/>
      <c r="F24" s="952"/>
      <c r="G24" s="952"/>
      <c r="H24" s="952"/>
      <c r="I24" s="469"/>
      <c r="J24" s="304"/>
      <c r="K24" s="305"/>
      <c r="L24" s="464" t="str">
        <f t="shared" si="0"/>
        <v/>
      </c>
      <c r="M24" s="299" t="str">
        <f t="shared" si="6"/>
        <v/>
      </c>
      <c r="N24" s="464" t="str">
        <f t="shared" si="1"/>
        <v/>
      </c>
      <c r="O24" s="68"/>
      <c r="P24" s="8"/>
      <c r="R24" s="655"/>
      <c r="T24" s="664" t="str">
        <f>IF(D24="","",VLOOKUP(D24,'9. All Habitats + Multipliers'!$C$4:$K$102,5,FALSE))</f>
        <v/>
      </c>
      <c r="U24" s="665"/>
      <c r="V24" s="96" t="str">
        <f>IF(T24="","",VLOOKUP(T24,'11. Lists'!$B$47:$D$49,2,FALSE))</f>
        <v/>
      </c>
      <c r="W24" s="93" t="str">
        <f>IF(D24="","",VLOOKUP(D24,'10. Condition and Temporal'!$B$6:$C$103,2,FALSE))</f>
        <v/>
      </c>
      <c r="X24" s="96" t="str">
        <f>IF(W24="","",VLOOKUP(W24,'11. Lists'!$F$47:$G$51,2,FALSE))</f>
        <v/>
      </c>
      <c r="Y24" s="370"/>
      <c r="Z24" s="341"/>
      <c r="AA24" s="368"/>
      <c r="AB24" s="95" t="str">
        <f t="shared" si="7"/>
        <v/>
      </c>
      <c r="AC24" s="95" t="str">
        <f>IF(AB24="","",VLOOKUP(AB24,'11. Lists'!$F$36:$H$38,2,FALSE))</f>
        <v/>
      </c>
      <c r="AD24" s="94" t="str">
        <f>IF(AB24="","",VLOOKUP(AB24,'11. Lists'!$F$36:$H$38,3,FALSE))</f>
        <v/>
      </c>
      <c r="AE24" s="296" t="str">
        <f t="shared" si="2"/>
        <v/>
      </c>
      <c r="AF24" s="297" t="str">
        <f t="shared" si="3"/>
        <v/>
      </c>
      <c r="AG24" s="298" t="str">
        <f t="shared" si="4"/>
        <v/>
      </c>
      <c r="AH24" s="93" t="str">
        <f>IF(T24="","",VLOOKUP(T24,'11. Lists'!$B$47:$D$49,3,FALSE))</f>
        <v/>
      </c>
      <c r="AI24" s="342" t="str">
        <f>IF(D24="","",VLOOKUP(D24,'10. Condition and Temporal'!$B$6:$L$103,4,FALSE))</f>
        <v/>
      </c>
      <c r="AJ24" s="473" t="str">
        <v>1</v>
      </c>
      <c r="AK24" s="157" t="str">
        <v>1</v>
      </c>
      <c r="AL24" s="157"/>
      <c r="AM24" s="157"/>
      <c r="AN24" s="429"/>
      <c r="AR24" s="157" t="str">
        <f t="shared" si="5"/>
        <v/>
      </c>
    </row>
    <row r="25" spans="2:44" s="25" customFormat="1" ht="15.75">
      <c r="B25" s="263">
        <v>15</v>
      </c>
      <c r="C25" s="554"/>
      <c r="D25" s="673"/>
      <c r="E25" s="673"/>
      <c r="F25" s="952"/>
      <c r="G25" s="952"/>
      <c r="H25" s="952"/>
      <c r="I25" s="469"/>
      <c r="J25" s="304"/>
      <c r="K25" s="305"/>
      <c r="L25" s="464" t="str">
        <f t="shared" si="0"/>
        <v/>
      </c>
      <c r="M25" s="299" t="str">
        <f t="shared" si="6"/>
        <v/>
      </c>
      <c r="N25" s="464" t="str">
        <f t="shared" si="1"/>
        <v/>
      </c>
      <c r="O25" s="68"/>
      <c r="P25" s="8"/>
      <c r="R25" s="655"/>
      <c r="T25" s="664" t="str">
        <f>IF(D25="","",VLOOKUP(D25,'9. All Habitats + Multipliers'!$C$4:$K$102,5,FALSE))</f>
        <v/>
      </c>
      <c r="U25" s="665"/>
      <c r="V25" s="96" t="str">
        <f>IF(T25="","",VLOOKUP(T25,'11. Lists'!$B$47:$D$49,2,FALSE))</f>
        <v/>
      </c>
      <c r="W25" s="93" t="str">
        <f>IF(D25="","",VLOOKUP(D25,'10. Condition and Temporal'!$B$6:$C$103,2,FALSE))</f>
        <v/>
      </c>
      <c r="X25" s="96" t="str">
        <f>IF(W25="","",VLOOKUP(W25,'11. Lists'!$F$47:$G$51,2,FALSE))</f>
        <v/>
      </c>
      <c r="Y25" s="370"/>
      <c r="Z25" s="341"/>
      <c r="AA25" s="368"/>
      <c r="AB25" s="95" t="str">
        <f t="shared" si="7"/>
        <v/>
      </c>
      <c r="AC25" s="95" t="str">
        <f>IF(AB25="","",VLOOKUP(AB25,'11. Lists'!$F$36:$H$38,2,FALSE))</f>
        <v/>
      </c>
      <c r="AD25" s="94" t="str">
        <f>IF(AB25="","",VLOOKUP(AB25,'11. Lists'!$F$36:$H$38,3,FALSE))</f>
        <v/>
      </c>
      <c r="AE25" s="296" t="str">
        <f t="shared" si="2"/>
        <v/>
      </c>
      <c r="AF25" s="297" t="str">
        <f t="shared" si="3"/>
        <v/>
      </c>
      <c r="AG25" s="298" t="str">
        <f t="shared" si="4"/>
        <v/>
      </c>
      <c r="AH25" s="93" t="str">
        <f>IF(T25="","",VLOOKUP(T25,'11. Lists'!$B$47:$D$49,3,FALSE))</f>
        <v/>
      </c>
      <c r="AI25" s="342" t="str">
        <f>IF(D25="","",VLOOKUP(D25,'10. Condition and Temporal'!$B$6:$L$103,4,FALSE))</f>
        <v/>
      </c>
      <c r="AJ25" s="473" t="str">
        <v>1</v>
      </c>
      <c r="AK25" s="157" t="str">
        <v>1</v>
      </c>
      <c r="AL25" s="157"/>
      <c r="AM25" s="157"/>
      <c r="AN25" s="429"/>
      <c r="AR25" s="157" t="str">
        <f t="shared" si="5"/>
        <v/>
      </c>
    </row>
    <row r="26" spans="2:44" s="25" customFormat="1" ht="15.75">
      <c r="B26" s="263">
        <v>16</v>
      </c>
      <c r="C26" s="554"/>
      <c r="D26" s="673"/>
      <c r="E26" s="673"/>
      <c r="F26" s="952"/>
      <c r="G26" s="952"/>
      <c r="H26" s="952"/>
      <c r="I26" s="469"/>
      <c r="J26" s="304"/>
      <c r="K26" s="305"/>
      <c r="L26" s="464" t="str">
        <f t="shared" si="0"/>
        <v/>
      </c>
      <c r="M26" s="299" t="str">
        <f t="shared" si="6"/>
        <v/>
      </c>
      <c r="N26" s="464" t="str">
        <f t="shared" si="1"/>
        <v/>
      </c>
      <c r="O26" s="68"/>
      <c r="P26" s="8"/>
      <c r="R26" s="655"/>
      <c r="T26" s="664" t="str">
        <f>IF(D26="","",VLOOKUP(D26,'9. All Habitats + Multipliers'!$C$4:$K$102,5,FALSE))</f>
        <v/>
      </c>
      <c r="U26" s="665"/>
      <c r="V26" s="96" t="str">
        <f>IF(T26="","",VLOOKUP(T26,'11. Lists'!$B$47:$D$49,2,FALSE))</f>
        <v/>
      </c>
      <c r="W26" s="93" t="str">
        <f>IF(D26="","",VLOOKUP(D26,'10. Condition and Temporal'!$B$6:$C$103,2,FALSE))</f>
        <v/>
      </c>
      <c r="X26" s="96" t="str">
        <f>IF(W26="","",VLOOKUP(W26,'11. Lists'!$F$47:$G$51,2,FALSE))</f>
        <v/>
      </c>
      <c r="Y26" s="370"/>
      <c r="Z26" s="341"/>
      <c r="AA26" s="368"/>
      <c r="AB26" s="95" t="str">
        <f t="shared" si="7"/>
        <v/>
      </c>
      <c r="AC26" s="95" t="str">
        <f>IF(AB26="","",VLOOKUP(AB26,'11. Lists'!$F$36:$H$38,2,FALSE))</f>
        <v/>
      </c>
      <c r="AD26" s="94" t="str">
        <f>IF(AB26="","",VLOOKUP(AB26,'11. Lists'!$F$36:$H$38,3,FALSE))</f>
        <v/>
      </c>
      <c r="AE26" s="296" t="str">
        <f t="shared" si="2"/>
        <v/>
      </c>
      <c r="AF26" s="297" t="str">
        <f t="shared" si="3"/>
        <v/>
      </c>
      <c r="AG26" s="298" t="str">
        <f t="shared" si="4"/>
        <v/>
      </c>
      <c r="AH26" s="93" t="str">
        <f>IF(T26="","",VLOOKUP(T26,'11. Lists'!$B$47:$D$49,3,FALSE))</f>
        <v/>
      </c>
      <c r="AI26" s="342" t="str">
        <f>IF(D26="","",VLOOKUP(D26,'10. Condition and Temporal'!$B$6:$L$103,4,FALSE))</f>
        <v/>
      </c>
      <c r="AJ26" s="473" t="str">
        <v>1</v>
      </c>
      <c r="AK26" s="157" t="str">
        <v>1</v>
      </c>
      <c r="AL26" s="157"/>
      <c r="AM26" s="157"/>
      <c r="AN26" s="429"/>
      <c r="AR26" s="157" t="str">
        <f t="shared" si="5"/>
        <v/>
      </c>
    </row>
    <row r="27" spans="2:44" s="25" customFormat="1" ht="15.75">
      <c r="B27" s="263">
        <v>17</v>
      </c>
      <c r="C27" s="554"/>
      <c r="D27" s="673"/>
      <c r="E27" s="673"/>
      <c r="F27" s="952"/>
      <c r="G27" s="952"/>
      <c r="H27" s="952"/>
      <c r="I27" s="469"/>
      <c r="J27" s="304"/>
      <c r="K27" s="305"/>
      <c r="L27" s="464" t="str">
        <f t="shared" si="0"/>
        <v/>
      </c>
      <c r="M27" s="299" t="str">
        <f t="shared" si="6"/>
        <v/>
      </c>
      <c r="N27" s="464" t="str">
        <f t="shared" si="1"/>
        <v/>
      </c>
      <c r="O27" s="68"/>
      <c r="P27" s="8"/>
      <c r="R27" s="655"/>
      <c r="T27" s="664" t="str">
        <f>IF(D27="","",VLOOKUP(D27,'9. All Habitats + Multipliers'!$C$4:$K$102,5,FALSE))</f>
        <v/>
      </c>
      <c r="U27" s="665"/>
      <c r="V27" s="96" t="str">
        <f>IF(T27="","",VLOOKUP(T27,'11. Lists'!$B$47:$D$49,2,FALSE))</f>
        <v/>
      </c>
      <c r="W27" s="93" t="str">
        <f>IF(D27="","",VLOOKUP(D27,'10. Condition and Temporal'!$B$6:$C$103,2,FALSE))</f>
        <v/>
      </c>
      <c r="X27" s="96" t="str">
        <f>IF(W27="","",VLOOKUP(W27,'11. Lists'!$F$47:$G$51,2,FALSE))</f>
        <v/>
      </c>
      <c r="Y27" s="370"/>
      <c r="Z27" s="341"/>
      <c r="AA27" s="368"/>
      <c r="AB27" s="95" t="str">
        <f t="shared" si="7"/>
        <v/>
      </c>
      <c r="AC27" s="95" t="str">
        <f>IF(AB27="","",VLOOKUP(AB27,'11. Lists'!$F$36:$H$38,2,FALSE))</f>
        <v/>
      </c>
      <c r="AD27" s="94" t="str">
        <f>IF(AB27="","",VLOOKUP(AB27,'11. Lists'!$F$36:$H$38,3,FALSE))</f>
        <v/>
      </c>
      <c r="AE27" s="296" t="str">
        <f t="shared" si="2"/>
        <v/>
      </c>
      <c r="AF27" s="297" t="str">
        <f t="shared" si="3"/>
        <v/>
      </c>
      <c r="AG27" s="298" t="str">
        <f t="shared" si="4"/>
        <v/>
      </c>
      <c r="AH27" s="93" t="str">
        <f>IF(T27="","",VLOOKUP(T27,'11. Lists'!$B$47:$D$49,3,FALSE))</f>
        <v/>
      </c>
      <c r="AI27" s="342" t="str">
        <f>IF(D27="","",VLOOKUP(D27,'10. Condition and Temporal'!$B$6:$L$103,4,FALSE))</f>
        <v/>
      </c>
      <c r="AJ27" s="473" t="str">
        <v>1</v>
      </c>
      <c r="AK27" s="157" t="str">
        <v>1</v>
      </c>
      <c r="AL27" s="157"/>
      <c r="AM27" s="157"/>
      <c r="AN27" s="429"/>
      <c r="AR27" s="157" t="str">
        <f t="shared" si="5"/>
        <v/>
      </c>
    </row>
    <row r="28" spans="2:44" s="25" customFormat="1" ht="15.75">
      <c r="B28" s="263">
        <v>18</v>
      </c>
      <c r="C28" s="554"/>
      <c r="D28" s="673"/>
      <c r="E28" s="673"/>
      <c r="F28" s="952"/>
      <c r="G28" s="952"/>
      <c r="H28" s="952"/>
      <c r="I28" s="469"/>
      <c r="J28" s="304"/>
      <c r="K28" s="305"/>
      <c r="L28" s="464" t="str">
        <f t="shared" si="0"/>
        <v/>
      </c>
      <c r="M28" s="299" t="str">
        <f t="shared" si="6"/>
        <v/>
      </c>
      <c r="N28" s="464" t="str">
        <f t="shared" si="1"/>
        <v/>
      </c>
      <c r="O28" s="68"/>
      <c r="P28" s="8"/>
      <c r="R28" s="655"/>
      <c r="T28" s="664" t="str">
        <f>IF(D28="","",VLOOKUP(D28,'9. All Habitats + Multipliers'!$C$4:$K$102,5,FALSE))</f>
        <v/>
      </c>
      <c r="U28" s="665"/>
      <c r="V28" s="96" t="str">
        <f>IF(T28="","",VLOOKUP(T28,'11. Lists'!$B$47:$D$49,2,FALSE))</f>
        <v/>
      </c>
      <c r="W28" s="93" t="str">
        <f>IF(D28="","",VLOOKUP(D28,'10. Condition and Temporal'!$B$6:$C$103,2,FALSE))</f>
        <v/>
      </c>
      <c r="X28" s="96" t="str">
        <f>IF(W28="","",VLOOKUP(W28,'11. Lists'!$F$47:$G$51,2,FALSE))</f>
        <v/>
      </c>
      <c r="Y28" s="370"/>
      <c r="Z28" s="341"/>
      <c r="AA28" s="368"/>
      <c r="AB28" s="95" t="str">
        <f t="shared" si="7"/>
        <v/>
      </c>
      <c r="AC28" s="95" t="str">
        <f>IF(AB28="","",VLOOKUP(AB28,'11. Lists'!$F$36:$H$38,2,FALSE))</f>
        <v/>
      </c>
      <c r="AD28" s="94" t="str">
        <f>IF(AB28="","",VLOOKUP(AB28,'11. Lists'!$F$36:$H$38,3,FALSE))</f>
        <v/>
      </c>
      <c r="AE28" s="296" t="str">
        <f t="shared" si="2"/>
        <v/>
      </c>
      <c r="AF28" s="297" t="str">
        <f t="shared" si="3"/>
        <v/>
      </c>
      <c r="AG28" s="298" t="str">
        <f t="shared" si="4"/>
        <v/>
      </c>
      <c r="AH28" s="93" t="str">
        <f>IF(T28="","",VLOOKUP(T28,'11. Lists'!$B$47:$D$49,3,FALSE))</f>
        <v/>
      </c>
      <c r="AI28" s="342" t="str">
        <f>IF(D28="","",VLOOKUP(D28,'10. Condition and Temporal'!$B$6:$L$103,4,FALSE))</f>
        <v/>
      </c>
      <c r="AJ28" s="473" t="str">
        <v>1</v>
      </c>
      <c r="AK28" s="157" t="str">
        <v>1</v>
      </c>
      <c r="AL28" s="157"/>
      <c r="AM28" s="157"/>
      <c r="AN28" s="429"/>
      <c r="AR28" s="157" t="str">
        <f t="shared" si="5"/>
        <v/>
      </c>
    </row>
    <row r="29" spans="2:44" s="25" customFormat="1" ht="15.75">
      <c r="B29" s="263">
        <v>19</v>
      </c>
      <c r="C29" s="554"/>
      <c r="D29" s="673"/>
      <c r="E29" s="673"/>
      <c r="F29" s="952"/>
      <c r="G29" s="952"/>
      <c r="H29" s="952"/>
      <c r="I29" s="469"/>
      <c r="J29" s="304"/>
      <c r="K29" s="305"/>
      <c r="L29" s="464" t="str">
        <f t="shared" si="0"/>
        <v/>
      </c>
      <c r="M29" s="299" t="str">
        <f t="shared" si="6"/>
        <v/>
      </c>
      <c r="N29" s="464" t="str">
        <f t="shared" si="1"/>
        <v/>
      </c>
      <c r="O29" s="68"/>
      <c r="P29" s="8"/>
      <c r="R29" s="655"/>
      <c r="T29" s="664" t="str">
        <f>IF(D29="","",VLOOKUP(D29,'9. All Habitats + Multipliers'!$C$4:$K$102,5,FALSE))</f>
        <v/>
      </c>
      <c r="U29" s="665"/>
      <c r="V29" s="96" t="str">
        <f>IF(T29="","",VLOOKUP(T29,'11. Lists'!$B$47:$D$49,2,FALSE))</f>
        <v/>
      </c>
      <c r="W29" s="93" t="str">
        <f>IF(D29="","",VLOOKUP(D29,'10. Condition and Temporal'!$B$6:$C$103,2,FALSE))</f>
        <v/>
      </c>
      <c r="X29" s="96" t="str">
        <f>IF(W29="","",VLOOKUP(W29,'11. Lists'!$F$47:$G$51,2,FALSE))</f>
        <v/>
      </c>
      <c r="Y29" s="370"/>
      <c r="Z29" s="341"/>
      <c r="AA29" s="368"/>
      <c r="AB29" s="95" t="str">
        <f t="shared" si="7"/>
        <v/>
      </c>
      <c r="AC29" s="95" t="str">
        <f>IF(AB29="","",VLOOKUP(AB29,'11. Lists'!$F$36:$H$38,2,FALSE))</f>
        <v/>
      </c>
      <c r="AD29" s="94" t="str">
        <f>IF(AB29="","",VLOOKUP(AB29,'11. Lists'!$F$36:$H$38,3,FALSE))</f>
        <v/>
      </c>
      <c r="AE29" s="296" t="str">
        <f t="shared" si="2"/>
        <v/>
      </c>
      <c r="AF29" s="297" t="str">
        <f t="shared" si="3"/>
        <v/>
      </c>
      <c r="AG29" s="298" t="str">
        <f t="shared" si="4"/>
        <v/>
      </c>
      <c r="AH29" s="93" t="str">
        <f>IF(T29="","",VLOOKUP(T29,'11. Lists'!$B$47:$D$49,3,FALSE))</f>
        <v/>
      </c>
      <c r="AI29" s="342" t="str">
        <f>IF(D29="","",VLOOKUP(D29,'10. Condition and Temporal'!$B$6:$L$103,4,FALSE))</f>
        <v/>
      </c>
      <c r="AJ29" s="473" t="str">
        <v>1</v>
      </c>
      <c r="AK29" s="157" t="str">
        <v>1</v>
      </c>
      <c r="AL29" s="157"/>
      <c r="AM29" s="157"/>
      <c r="AN29" s="429"/>
      <c r="AR29" s="157" t="str">
        <f t="shared" si="5"/>
        <v/>
      </c>
    </row>
    <row r="30" spans="2:44" s="25" customFormat="1" ht="16.5" customHeight="1">
      <c r="B30" s="264">
        <v>20</v>
      </c>
      <c r="C30" s="555"/>
      <c r="D30" s="677"/>
      <c r="E30" s="677"/>
      <c r="F30" s="971"/>
      <c r="G30" s="971"/>
      <c r="H30" s="971"/>
      <c r="I30" s="470"/>
      <c r="J30" s="307"/>
      <c r="K30" s="308"/>
      <c r="L30" s="472" t="str">
        <f t="shared" si="0"/>
        <v/>
      </c>
      <c r="M30" s="313" t="str">
        <f>IF(I30="","",IF(J30+K30&gt;I30,"Length Error ▲",I30-J30-K30))</f>
        <v/>
      </c>
      <c r="N30" s="472" t="str">
        <f t="shared" si="1"/>
        <v/>
      </c>
      <c r="O30" s="70"/>
      <c r="P30" s="4"/>
      <c r="R30" s="655"/>
      <c r="T30" s="666" t="str">
        <f>IF(D30="","",VLOOKUP(D30,'9. All Habitats + Multipliers'!$C$4:$K$102,5,FALSE))</f>
        <v/>
      </c>
      <c r="U30" s="667"/>
      <c r="V30" s="96" t="str">
        <f>IF(T30="","",VLOOKUP(T30,'11. Lists'!$B$47:$D$49,2,FALSE))</f>
        <v/>
      </c>
      <c r="W30" s="98" t="str">
        <f>IF(D30="","",VLOOKUP(D30,'10. Condition and Temporal'!$B$6:$C$103,2,FALSE))</f>
        <v/>
      </c>
      <c r="X30" s="102" t="str">
        <f>IF(W30="","",VLOOKUP(W30,'11. Lists'!$F$47:$G$51,2,FALSE))</f>
        <v/>
      </c>
      <c r="Y30" s="370"/>
      <c r="Z30" s="341"/>
      <c r="AA30" s="368"/>
      <c r="AB30" s="95" t="str">
        <f t="shared" si="7"/>
        <v/>
      </c>
      <c r="AC30" s="95" t="str">
        <f>IF(AB30="","",VLOOKUP(AB30,'11. Lists'!$F$36:$H$38,2,FALSE))</f>
        <v/>
      </c>
      <c r="AD30" s="94" t="str">
        <f>IF(AB30="","",VLOOKUP(AB30,'11. Lists'!$F$36:$H$38,3,FALSE))</f>
        <v/>
      </c>
      <c r="AE30" s="296" t="str">
        <f t="shared" si="2"/>
        <v/>
      </c>
      <c r="AF30" s="297" t="str">
        <f t="shared" si="3"/>
        <v/>
      </c>
      <c r="AG30" s="298" t="str">
        <f t="shared" si="4"/>
        <v/>
      </c>
      <c r="AH30" s="93" t="str">
        <f>IF(T30="","",VLOOKUP(T30,'11. Lists'!$B$47:$D$49,3,FALSE))</f>
        <v/>
      </c>
      <c r="AI30" s="342" t="str">
        <f>IF(D30="","",VLOOKUP(D30,'10. Condition and Temporal'!$B$6:$L$103,4,FALSE))</f>
        <v/>
      </c>
      <c r="AJ30" s="473" t="str">
        <v>1</v>
      </c>
      <c r="AK30" s="157" t="str">
        <v>1</v>
      </c>
      <c r="AL30" s="157"/>
      <c r="AM30" s="157"/>
      <c r="AN30" s="429"/>
      <c r="AR30" s="157" t="str">
        <f t="shared" si="5"/>
        <v/>
      </c>
    </row>
    <row r="31" spans="2:44" s="25" customFormat="1">
      <c r="D31" s="89"/>
      <c r="E31" s="103"/>
      <c r="F31" s="103"/>
      <c r="G31" s="103"/>
      <c r="H31" s="471" t="s">
        <v>236</v>
      </c>
      <c r="I31" s="324">
        <f t="shared" ref="I31:N31" si="8">SUM(I11:I30)</f>
        <v>0</v>
      </c>
      <c r="J31" s="325">
        <f t="shared" si="8"/>
        <v>0</v>
      </c>
      <c r="K31" s="326">
        <f t="shared" si="8"/>
        <v>0</v>
      </c>
      <c r="L31" s="282">
        <f t="shared" si="8"/>
        <v>0</v>
      </c>
      <c r="M31" s="314">
        <f t="shared" si="8"/>
        <v>0</v>
      </c>
      <c r="N31" s="289">
        <f t="shared" si="8"/>
        <v>0</v>
      </c>
      <c r="R31" s="655"/>
      <c r="AJ31" s="157"/>
      <c r="AK31" s="157"/>
      <c r="AL31" s="157"/>
      <c r="AM31" s="157"/>
      <c r="AN31" s="157"/>
      <c r="AR31" s="157"/>
    </row>
    <row r="32" spans="2:44" s="25" customFormat="1" ht="28.5">
      <c r="D32" s="89"/>
      <c r="E32" s="103"/>
      <c r="F32" s="103"/>
      <c r="G32" s="103"/>
      <c r="H32" s="287" t="s">
        <v>107</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28.5">
      <c r="D33" s="89"/>
      <c r="E33" s="103"/>
      <c r="F33" s="103"/>
      <c r="G33" s="103"/>
      <c r="H33" s="271" t="s">
        <v>107</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5" t="s">
        <v>65</v>
      </c>
      <c r="AJ34" s="157"/>
      <c r="AK34" s="157"/>
      <c r="AL34" s="157"/>
      <c r="AM34" s="157"/>
      <c r="AN34" s="157"/>
      <c r="AR34" s="157"/>
    </row>
    <row r="35" spans="2:44" s="25" customFormat="1" ht="21">
      <c r="B35" s="57" t="s">
        <v>110</v>
      </c>
      <c r="D35" s="88"/>
      <c r="E35" s="103"/>
      <c r="F35" s="103"/>
      <c r="G35" s="103"/>
      <c r="I35" s="26"/>
      <c r="R35" s="655"/>
      <c r="AJ35" s="157"/>
      <c r="AK35" s="157"/>
      <c r="AL35" s="157"/>
      <c r="AM35" s="157"/>
      <c r="AN35" s="157"/>
      <c r="AR35" s="157"/>
    </row>
    <row r="36" spans="2:44" s="25" customFormat="1" ht="15.75" customHeight="1">
      <c r="R36" s="655"/>
      <c r="AJ36" s="157"/>
      <c r="AK36" s="157"/>
      <c r="AL36" s="157"/>
      <c r="AM36" s="157"/>
      <c r="AN36" s="157"/>
      <c r="AR36" s="157"/>
    </row>
    <row r="37" spans="2:44" s="25" customFormat="1" ht="16.149999999999999" customHeight="1">
      <c r="B37" s="736" t="s">
        <v>60</v>
      </c>
      <c r="C37" s="727"/>
      <c r="D37" s="739"/>
      <c r="E37" s="726" t="s">
        <v>111</v>
      </c>
      <c r="F37" s="785"/>
      <c r="G37" s="728"/>
      <c r="H37" s="785" t="s">
        <v>112</v>
      </c>
      <c r="I37" s="757" t="s">
        <v>237</v>
      </c>
      <c r="J37" s="758"/>
      <c r="K37" s="758"/>
      <c r="L37" s="726" t="s">
        <v>263</v>
      </c>
      <c r="M37" s="727"/>
      <c r="N37" s="728"/>
      <c r="O37" s="770" t="s">
        <v>78</v>
      </c>
      <c r="P37" s="728"/>
      <c r="R37" s="655"/>
      <c r="T37" s="937" t="s">
        <v>79</v>
      </c>
      <c r="U37" s="938"/>
      <c r="V37" s="939"/>
      <c r="W37" s="934" t="s">
        <v>80</v>
      </c>
      <c r="X37" s="936"/>
      <c r="Y37" s="764"/>
      <c r="Z37" s="764"/>
      <c r="AA37" s="764"/>
      <c r="AB37" s="934" t="s">
        <v>81</v>
      </c>
      <c r="AC37" s="935"/>
      <c r="AD37" s="936"/>
      <c r="AE37" s="930" t="s">
        <v>115</v>
      </c>
      <c r="AF37" s="931"/>
      <c r="AG37" s="930" t="s">
        <v>116</v>
      </c>
      <c r="AH37" s="931"/>
      <c r="AI37" s="974" t="s">
        <v>264</v>
      </c>
      <c r="AJ37" s="157"/>
      <c r="AK37" s="157"/>
      <c r="AL37" s="157"/>
      <c r="AM37" s="157"/>
      <c r="AN37" s="157"/>
      <c r="AR37" s="157"/>
    </row>
    <row r="38" spans="2:44" s="25" customFormat="1" ht="31.5">
      <c r="B38" s="737"/>
      <c r="C38" s="196" t="s">
        <v>85</v>
      </c>
      <c r="D38" s="197" t="s">
        <v>117</v>
      </c>
      <c r="E38" s="86" t="s">
        <v>118</v>
      </c>
      <c r="F38" s="724" t="s">
        <v>119</v>
      </c>
      <c r="G38" s="725"/>
      <c r="H38" s="786"/>
      <c r="I38" s="760"/>
      <c r="J38" s="761"/>
      <c r="K38" s="761"/>
      <c r="L38" s="892"/>
      <c r="M38" s="893"/>
      <c r="N38" s="894"/>
      <c r="O38" s="195" t="s">
        <v>93</v>
      </c>
      <c r="P38" s="90" t="s">
        <v>94</v>
      </c>
      <c r="R38" s="655"/>
      <c r="T38" s="930" t="s">
        <v>95</v>
      </c>
      <c r="U38" s="940"/>
      <c r="V38" s="524" t="s">
        <v>96</v>
      </c>
      <c r="W38" s="111" t="s">
        <v>97</v>
      </c>
      <c r="X38" s="112" t="s">
        <v>96</v>
      </c>
      <c r="Y38" s="369"/>
      <c r="Z38" s="363"/>
      <c r="AA38" s="525"/>
      <c r="AB38" s="111" t="s">
        <v>81</v>
      </c>
      <c r="AC38" s="498" t="s">
        <v>81</v>
      </c>
      <c r="AD38" s="112" t="s">
        <v>98</v>
      </c>
      <c r="AE38" s="111" t="s">
        <v>120</v>
      </c>
      <c r="AF38" s="112" t="s">
        <v>121</v>
      </c>
      <c r="AG38" s="111" t="s">
        <v>122</v>
      </c>
      <c r="AH38" s="112" t="s">
        <v>123</v>
      </c>
      <c r="AI38" s="975"/>
      <c r="AJ38" s="157"/>
      <c r="AK38" s="157"/>
      <c r="AL38" s="157"/>
      <c r="AM38" s="157"/>
      <c r="AN38" s="157"/>
      <c r="AR38" s="157"/>
    </row>
    <row r="39" spans="2:44" s="25" customFormat="1" ht="15.75">
      <c r="B39" s="269">
        <v>1</v>
      </c>
      <c r="C39" s="553" t="s">
        <v>262</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6"/>
      <c r="P39" s="142"/>
      <c r="Q39" s="106"/>
      <c r="R39" s="655"/>
      <c r="T39" s="941" t="str">
        <f>IF(D39="","",VLOOKUP(D39,'9. All Habitats + Multipliers'!$C$4:$K$102,5,FALSE))</f>
        <v/>
      </c>
      <c r="U39" s="942"/>
      <c r="V39" s="361" t="str">
        <f>IF(T39="","",VLOOKUP(T39,'11. Lists'!$B$47:$D$49,2,FALSE))</f>
        <v/>
      </c>
      <c r="W39" s="359" t="str">
        <f>IF(F39="","",F39)</f>
        <v/>
      </c>
      <c r="X39" s="361" t="str">
        <f>IF(W39="","",VLOOKUP(W39,'11. Lists'!$F$47:$G$51,2,FALSE))</f>
        <v/>
      </c>
      <c r="Y39" s="370"/>
      <c r="Z39" s="341"/>
      <c r="AA39" s="505"/>
      <c r="AB39" s="114" t="str">
        <f>IF(H39="","",H39)</f>
        <v/>
      </c>
      <c r="AC39" s="116" t="str">
        <f>IF(AB39="","",VLOOKUP(AB39,'11. Lists'!$F$36:$H$38,2,FALSE))</f>
        <v/>
      </c>
      <c r="AD39" s="115" t="str">
        <f>IF(AB39="","",VLOOKUP(AB39,'11. Lists'!$F$36:$H$38,3,FALSE))</f>
        <v/>
      </c>
      <c r="AE39" s="35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18" t="str">
        <f>IF(AE39="","",VLOOKUP(AE39,'11. Lists'!$I$47:$K$80,3,FALSE))</f>
        <v/>
      </c>
      <c r="AG39" s="359" t="str">
        <f>IF(D39="","",VLOOKUP(D39,'9. All Habitats + Multipliers'!$C$4:$K$102,7,FALSE))</f>
        <v/>
      </c>
      <c r="AH39" s="361" t="str">
        <f>IF(AG39="","",VLOOKUP(AG39,'11. Lists'!$J$35:$K$38,2,FALSE))</f>
        <v/>
      </c>
      <c r="AI39" s="526" t="str">
        <f t="array" ref="AI39:AI58">IF($D$39:$D$58="Culvert","0.68","1")</f>
        <v>1</v>
      </c>
      <c r="AJ39" s="157"/>
      <c r="AK39" s="157"/>
      <c r="AL39" s="157"/>
      <c r="AM39" s="157"/>
      <c r="AN39" s="157"/>
      <c r="AR39" s="157"/>
    </row>
    <row r="40" spans="2:44" s="25" customFormat="1" ht="31.5">
      <c r="B40" s="263" t="s">
        <v>1078</v>
      </c>
      <c r="C40" s="554"/>
      <c r="D40" s="73"/>
      <c r="E40" s="105"/>
      <c r="F40" s="710"/>
      <c r="G40" s="711"/>
      <c r="H40" s="71"/>
      <c r="I40" s="719"/>
      <c r="J40" s="720"/>
      <c r="K40" s="720"/>
      <c r="L40" s="949" t="str">
        <f t="shared" ref="L40:L58" si="9">IF(D40="","",IFERROR(IF(I40="","",((I40/1000)*(V40*X40))*(AH40*AF40)*AD40*AI40),"This intervention is not permitted within the SSM ▲"))</f>
        <v/>
      </c>
      <c r="M40" s="950"/>
      <c r="N40" s="951"/>
      <c r="O40" s="74" t="s">
        <v>1079</v>
      </c>
      <c r="P40" s="12"/>
      <c r="Q40" s="106"/>
      <c r="R40" s="655"/>
      <c r="T40" s="664" t="str">
        <f>IF(D40="","",VLOOKUP(D40,'9. All Habitats + Multipliers'!$C$4:$K$102,5,FALSE))</f>
        <v/>
      </c>
      <c r="U40" s="665"/>
      <c r="V40" s="94" t="str">
        <f>IF(T40="","",VLOOKUP(T40,'11. Lists'!$B$47:$D$49,2,FALSE))</f>
        <v/>
      </c>
      <c r="W40" s="93" t="str">
        <f>IF(F40="","",F40)</f>
        <v/>
      </c>
      <c r="X40" s="94" t="str">
        <f>IF(W40="","",VLOOKUP(W40,'11. Lists'!$F$47:$G$51,2,FALSE))</f>
        <v/>
      </c>
      <c r="Y40" s="370"/>
      <c r="Z40" s="341"/>
      <c r="AA40" s="505"/>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0" t="str">
        <v>1</v>
      </c>
      <c r="AJ40" s="157"/>
      <c r="AK40" s="157"/>
      <c r="AL40" s="157"/>
      <c r="AM40" s="157"/>
      <c r="AN40" s="157"/>
      <c r="AR40" s="157"/>
    </row>
    <row r="41" spans="2:44" s="25" customFormat="1" ht="15.75">
      <c r="B41" s="263"/>
      <c r="C41" s="554"/>
      <c r="D41" s="73"/>
      <c r="E41" s="105"/>
      <c r="F41" s="710"/>
      <c r="G41" s="711"/>
      <c r="H41" s="71"/>
      <c r="I41" s="719"/>
      <c r="J41" s="720"/>
      <c r="K41" s="720"/>
      <c r="L41" s="949" t="str">
        <f t="shared" si="9"/>
        <v/>
      </c>
      <c r="M41" s="950"/>
      <c r="N41" s="951"/>
      <c r="O41" s="74"/>
      <c r="P41" s="12"/>
      <c r="Q41" s="106"/>
      <c r="R41" s="655"/>
      <c r="T41" s="664" t="str">
        <f>IF(D41="","",VLOOKUP(D41,'9. All Habitats + Multipliers'!$C$4:$K$102,5,FALSE))</f>
        <v/>
      </c>
      <c r="U41" s="665"/>
      <c r="V41" s="94" t="str">
        <f>IF(T41="","",VLOOKUP(T41,'11. Lists'!$B$47:$D$49,2,FALSE))</f>
        <v/>
      </c>
      <c r="W41" s="93" t="str">
        <f>IF(F41="","",F41)</f>
        <v/>
      </c>
      <c r="X41" s="94" t="str">
        <f>IF(W41="","",VLOOKUP(W41,'11. Lists'!$F$47:$G$51,2,FALSE))</f>
        <v/>
      </c>
      <c r="Y41" s="370"/>
      <c r="Z41" s="341"/>
      <c r="AA41" s="505"/>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0" t="str">
        <v>1</v>
      </c>
      <c r="AJ41" s="157"/>
      <c r="AK41" s="157"/>
      <c r="AL41" s="157"/>
      <c r="AM41" s="157"/>
      <c r="AN41" s="157"/>
      <c r="AR41" s="157"/>
    </row>
    <row r="42" spans="2:44" s="25" customFormat="1" ht="15.75">
      <c r="B42" s="263"/>
      <c r="C42" s="554"/>
      <c r="D42" s="73"/>
      <c r="E42" s="105"/>
      <c r="F42" s="710"/>
      <c r="G42" s="711"/>
      <c r="H42" s="71"/>
      <c r="I42" s="719"/>
      <c r="J42" s="720"/>
      <c r="K42" s="720"/>
      <c r="L42" s="949" t="str">
        <f t="shared" si="9"/>
        <v/>
      </c>
      <c r="M42" s="950"/>
      <c r="N42" s="951"/>
      <c r="O42" s="74"/>
      <c r="P42" s="12"/>
      <c r="Q42" s="106"/>
      <c r="R42" s="655"/>
      <c r="T42" s="664" t="str">
        <f>IF(D42="","",VLOOKUP(D42,'9. All Habitats + Multipliers'!$C$4:$K$102,5,FALSE))</f>
        <v/>
      </c>
      <c r="U42" s="665"/>
      <c r="V42" s="94" t="str">
        <f>IF(T42="","",VLOOKUP(T42,'11. Lists'!$B$47:$D$49,2,FALSE))</f>
        <v/>
      </c>
      <c r="W42" s="93" t="str">
        <f>IF(F42="","",F42)</f>
        <v/>
      </c>
      <c r="X42" s="94" t="str">
        <f>IF(W42="","",VLOOKUP(W42,'11. Lists'!$F$47:$G$51,2,FALSE))</f>
        <v/>
      </c>
      <c r="Y42" s="370"/>
      <c r="Z42" s="341"/>
      <c r="AA42" s="505"/>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0" t="str">
        <v>1</v>
      </c>
      <c r="AJ42" s="157"/>
      <c r="AK42" s="157"/>
      <c r="AL42" s="157"/>
      <c r="AM42" s="157"/>
      <c r="AN42" s="157"/>
      <c r="AR42" s="157"/>
    </row>
    <row r="43" spans="2:44" s="25" customFormat="1" ht="15.75">
      <c r="B43" s="263"/>
      <c r="C43" s="554"/>
      <c r="D43" s="73"/>
      <c r="E43" s="105"/>
      <c r="F43" s="710"/>
      <c r="G43" s="711"/>
      <c r="H43" s="71"/>
      <c r="I43" s="719"/>
      <c r="J43" s="720"/>
      <c r="K43" s="720"/>
      <c r="L43" s="949" t="str">
        <f t="shared" si="9"/>
        <v/>
      </c>
      <c r="M43" s="950"/>
      <c r="N43" s="951"/>
      <c r="O43" s="74"/>
      <c r="P43" s="12"/>
      <c r="R43" s="655"/>
      <c r="T43" s="664" t="str">
        <f>IF(D43="","",VLOOKUP(D43,'9. All Habitats + Multipliers'!$C$4:$K$102,5,FALSE))</f>
        <v/>
      </c>
      <c r="U43" s="665"/>
      <c r="V43" s="94" t="str">
        <f>IF(T43="","",VLOOKUP(T43,'11. Lists'!$B$47:$D$49,2,FALSE))</f>
        <v/>
      </c>
      <c r="W43" s="93" t="str">
        <f t="shared" ref="W43:W58" si="11">IF(F43="","",F43)</f>
        <v/>
      </c>
      <c r="X43" s="94" t="str">
        <f>IF(W43="","",VLOOKUP(W43,'11. Lists'!$F$47:$G$51,2,FALSE))</f>
        <v/>
      </c>
      <c r="Y43" s="370"/>
      <c r="Z43" s="341"/>
      <c r="AA43" s="505"/>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0" t="str">
        <v>1</v>
      </c>
      <c r="AJ43" s="157"/>
      <c r="AK43" s="157"/>
      <c r="AL43" s="157"/>
      <c r="AM43" s="157"/>
      <c r="AN43" s="157"/>
      <c r="AR43" s="157"/>
    </row>
    <row r="44" spans="2:44" s="25" customFormat="1" ht="15.75">
      <c r="B44" s="263"/>
      <c r="C44" s="554"/>
      <c r="D44" s="73"/>
      <c r="E44" s="105"/>
      <c r="F44" s="710"/>
      <c r="G44" s="711"/>
      <c r="H44" s="71"/>
      <c r="I44" s="719"/>
      <c r="J44" s="720"/>
      <c r="K44" s="720"/>
      <c r="L44" s="949" t="str">
        <f t="shared" si="9"/>
        <v/>
      </c>
      <c r="M44" s="950"/>
      <c r="N44" s="951"/>
      <c r="O44" s="74"/>
      <c r="P44" s="12"/>
      <c r="R44" s="655"/>
      <c r="T44" s="664" t="str">
        <f>IF(D44="","",VLOOKUP(D44,'9. All Habitats + Multipliers'!$C$4:$K$102,5,FALSE))</f>
        <v/>
      </c>
      <c r="U44" s="665"/>
      <c r="V44" s="94" t="str">
        <f>IF(T44="","",VLOOKUP(T44,'11. Lists'!$B$47:$D$49,2,FALSE))</f>
        <v/>
      </c>
      <c r="W44" s="93" t="str">
        <f t="shared" si="11"/>
        <v/>
      </c>
      <c r="X44" s="94" t="str">
        <f>IF(W44="","",VLOOKUP(W44,'11. Lists'!$F$47:$G$51,2,FALSE))</f>
        <v/>
      </c>
      <c r="Y44" s="370"/>
      <c r="Z44" s="341"/>
      <c r="AA44" s="505"/>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0" t="str">
        <v>1</v>
      </c>
      <c r="AJ44" s="157"/>
      <c r="AK44" s="157"/>
      <c r="AL44" s="157"/>
      <c r="AM44" s="157"/>
      <c r="AN44" s="157"/>
      <c r="AR44" s="157"/>
    </row>
    <row r="45" spans="2:44" s="25" customFormat="1" ht="15.75">
      <c r="B45" s="263"/>
      <c r="C45" s="554"/>
      <c r="D45" s="73"/>
      <c r="E45" s="105"/>
      <c r="F45" s="710"/>
      <c r="G45" s="711"/>
      <c r="H45" s="71"/>
      <c r="I45" s="719"/>
      <c r="J45" s="720"/>
      <c r="K45" s="720"/>
      <c r="L45" s="949" t="str">
        <f t="shared" si="9"/>
        <v/>
      </c>
      <c r="M45" s="950"/>
      <c r="N45" s="951"/>
      <c r="O45" s="74"/>
      <c r="P45" s="12"/>
      <c r="R45" s="655"/>
      <c r="T45" s="664" t="str">
        <f>IF(D45="","",VLOOKUP(D45,'9. All Habitats + Multipliers'!$C$4:$K$102,5,FALSE))</f>
        <v/>
      </c>
      <c r="U45" s="665"/>
      <c r="V45" s="94" t="str">
        <f>IF(T45="","",VLOOKUP(T45,'11. Lists'!$B$47:$D$49,2,FALSE))</f>
        <v/>
      </c>
      <c r="W45" s="93" t="str">
        <f t="shared" si="11"/>
        <v/>
      </c>
      <c r="X45" s="94" t="str">
        <f>IF(W45="","",VLOOKUP(W45,'11. Lists'!$F$47:$G$51,2,FALSE))</f>
        <v/>
      </c>
      <c r="Y45" s="370"/>
      <c r="Z45" s="341"/>
      <c r="AA45" s="505"/>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0" t="str">
        <v>1</v>
      </c>
      <c r="AJ45" s="157"/>
      <c r="AK45" s="157"/>
      <c r="AL45" s="157"/>
      <c r="AM45" s="157"/>
      <c r="AN45" s="157"/>
      <c r="AR45" s="157"/>
    </row>
    <row r="46" spans="2:44" s="25" customFormat="1" ht="15.75">
      <c r="B46" s="263"/>
      <c r="C46" s="554"/>
      <c r="D46" s="73"/>
      <c r="E46" s="105"/>
      <c r="F46" s="710"/>
      <c r="G46" s="711"/>
      <c r="H46" s="71"/>
      <c r="I46" s="719"/>
      <c r="J46" s="720"/>
      <c r="K46" s="720"/>
      <c r="L46" s="949" t="str">
        <f t="shared" si="9"/>
        <v/>
      </c>
      <c r="M46" s="950"/>
      <c r="N46" s="951"/>
      <c r="O46" s="74"/>
      <c r="P46" s="12"/>
      <c r="R46" s="655"/>
      <c r="T46" s="664" t="str">
        <f>IF(D46="","",VLOOKUP(D46,'9. All Habitats + Multipliers'!$C$4:$K$102,5,FALSE))</f>
        <v/>
      </c>
      <c r="U46" s="665"/>
      <c r="V46" s="94" t="str">
        <f>IF(T46="","",VLOOKUP(T46,'11. Lists'!$B$47:$D$49,2,FALSE))</f>
        <v/>
      </c>
      <c r="W46" s="93" t="str">
        <f t="shared" si="11"/>
        <v/>
      </c>
      <c r="X46" s="94" t="str">
        <f>IF(W46="","",VLOOKUP(W46,'11. Lists'!$F$47:$G$51,2,FALSE))</f>
        <v/>
      </c>
      <c r="Y46" s="370"/>
      <c r="Z46" s="341"/>
      <c r="AA46" s="505"/>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0" t="str">
        <v>1</v>
      </c>
      <c r="AJ46" s="157"/>
      <c r="AK46" s="157"/>
      <c r="AL46" s="157"/>
      <c r="AM46" s="157"/>
      <c r="AN46" s="157"/>
      <c r="AR46" s="157"/>
    </row>
    <row r="47" spans="2:44" s="25" customFormat="1" ht="15.75">
      <c r="B47" s="263"/>
      <c r="C47" s="554"/>
      <c r="D47" s="73"/>
      <c r="E47" s="105"/>
      <c r="F47" s="710"/>
      <c r="G47" s="711"/>
      <c r="H47" s="71"/>
      <c r="I47" s="719"/>
      <c r="J47" s="720"/>
      <c r="K47" s="720"/>
      <c r="L47" s="949" t="str">
        <f t="shared" si="9"/>
        <v/>
      </c>
      <c r="M47" s="950"/>
      <c r="N47" s="951"/>
      <c r="O47" s="74"/>
      <c r="P47" s="12"/>
      <c r="R47" s="655"/>
      <c r="T47" s="664" t="str">
        <f>IF(D47="","",VLOOKUP(D47,'9. All Habitats + Multipliers'!$C$4:$K$102,5,FALSE))</f>
        <v/>
      </c>
      <c r="U47" s="665"/>
      <c r="V47" s="94" t="str">
        <f>IF(T47="","",VLOOKUP(T47,'11. Lists'!$B$47:$D$49,2,FALSE))</f>
        <v/>
      </c>
      <c r="W47" s="93" t="str">
        <f t="shared" si="11"/>
        <v/>
      </c>
      <c r="X47" s="94" t="str">
        <f>IF(W47="","",VLOOKUP(W47,'11. Lists'!$F$47:$G$51,2,FALSE))</f>
        <v/>
      </c>
      <c r="Y47" s="370"/>
      <c r="Z47" s="341"/>
      <c r="AA47" s="505"/>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0" t="str">
        <v>1</v>
      </c>
      <c r="AJ47" s="157"/>
      <c r="AK47" s="157"/>
      <c r="AL47" s="157"/>
      <c r="AM47" s="157"/>
      <c r="AN47" s="157"/>
      <c r="AR47" s="157"/>
    </row>
    <row r="48" spans="2:44" s="25" customFormat="1" ht="15.75">
      <c r="B48" s="263"/>
      <c r="C48" s="554"/>
      <c r="D48" s="73"/>
      <c r="E48" s="105"/>
      <c r="F48" s="710"/>
      <c r="G48" s="711"/>
      <c r="H48" s="71"/>
      <c r="I48" s="719"/>
      <c r="J48" s="720"/>
      <c r="K48" s="720"/>
      <c r="L48" s="949" t="str">
        <f t="shared" si="9"/>
        <v/>
      </c>
      <c r="M48" s="950"/>
      <c r="N48" s="951"/>
      <c r="O48" s="74"/>
      <c r="P48" s="12"/>
      <c r="R48" s="655"/>
      <c r="T48" s="664" t="str">
        <f>IF(D48="","",VLOOKUP(D48,'9. All Habitats + Multipliers'!$C$4:$K$102,5,FALSE))</f>
        <v/>
      </c>
      <c r="U48" s="665"/>
      <c r="V48" s="94" t="str">
        <f>IF(T48="","",VLOOKUP(T48,'11. Lists'!$B$47:$D$49,2,FALSE))</f>
        <v/>
      </c>
      <c r="W48" s="93" t="str">
        <f t="shared" si="11"/>
        <v/>
      </c>
      <c r="X48" s="94" t="str">
        <f>IF(W48="","",VLOOKUP(W48,'11. Lists'!$F$47:$G$51,2,FALSE))</f>
        <v/>
      </c>
      <c r="Y48" s="370"/>
      <c r="Z48" s="341"/>
      <c r="AA48" s="505"/>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0" t="str">
        <v>1</v>
      </c>
      <c r="AJ48" s="157"/>
      <c r="AK48" s="157"/>
      <c r="AL48" s="157"/>
      <c r="AM48" s="157"/>
      <c r="AN48" s="157"/>
      <c r="AR48" s="157"/>
    </row>
    <row r="49" spans="1:73" s="25" customFormat="1" ht="15.75">
      <c r="B49" s="263"/>
      <c r="C49" s="554"/>
      <c r="D49" s="73"/>
      <c r="E49" s="105"/>
      <c r="F49" s="710"/>
      <c r="G49" s="711"/>
      <c r="H49" s="71"/>
      <c r="I49" s="719"/>
      <c r="J49" s="720"/>
      <c r="K49" s="720"/>
      <c r="L49" s="949" t="str">
        <f t="shared" si="9"/>
        <v/>
      </c>
      <c r="M49" s="950"/>
      <c r="N49" s="951"/>
      <c r="O49" s="74"/>
      <c r="P49" s="12"/>
      <c r="R49" s="655"/>
      <c r="T49" s="664" t="str">
        <f>IF(D49="","",VLOOKUP(D49,'9. All Habitats + Multipliers'!$C$4:$K$102,5,FALSE))</f>
        <v/>
      </c>
      <c r="U49" s="665"/>
      <c r="V49" s="94" t="str">
        <f>IF(T49="","",VLOOKUP(T49,'11. Lists'!$B$47:$D$49,2,FALSE))</f>
        <v/>
      </c>
      <c r="W49" s="93" t="str">
        <f t="shared" si="11"/>
        <v/>
      </c>
      <c r="X49" s="94" t="str">
        <f>IF(W49="","",VLOOKUP(W49,'11. Lists'!$F$47:$G$51,2,FALSE))</f>
        <v/>
      </c>
      <c r="Y49" s="370"/>
      <c r="Z49" s="341"/>
      <c r="AA49" s="505"/>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0" t="str">
        <v>1</v>
      </c>
      <c r="AJ49" s="157"/>
      <c r="AK49" s="157"/>
      <c r="AL49" s="157"/>
      <c r="AM49" s="157"/>
      <c r="AN49" s="157"/>
      <c r="AR49" s="157"/>
    </row>
    <row r="50" spans="1:73" s="25" customFormat="1" ht="15.75">
      <c r="B50" s="263"/>
      <c r="C50" s="554"/>
      <c r="D50" s="73"/>
      <c r="E50" s="105"/>
      <c r="F50" s="710"/>
      <c r="G50" s="711"/>
      <c r="H50" s="71"/>
      <c r="I50" s="719"/>
      <c r="J50" s="720"/>
      <c r="K50" s="720"/>
      <c r="L50" s="949" t="str">
        <f t="shared" si="9"/>
        <v/>
      </c>
      <c r="M50" s="950"/>
      <c r="N50" s="951"/>
      <c r="O50" s="74"/>
      <c r="P50" s="12"/>
      <c r="R50" s="655"/>
      <c r="T50" s="664" t="str">
        <f>IF(D50="","",VLOOKUP(D50,'9. All Habitats + Multipliers'!$C$4:$K$102,5,FALSE))</f>
        <v/>
      </c>
      <c r="U50" s="665"/>
      <c r="V50" s="94" t="str">
        <f>IF(T50="","",VLOOKUP(T50,'11. Lists'!$B$47:$D$49,2,FALSE))</f>
        <v/>
      </c>
      <c r="W50" s="93" t="str">
        <f t="shared" si="11"/>
        <v/>
      </c>
      <c r="X50" s="94" t="str">
        <f>IF(W50="","",VLOOKUP(W50,'11. Lists'!$F$47:$G$51,2,FALSE))</f>
        <v/>
      </c>
      <c r="Y50" s="370"/>
      <c r="Z50" s="341"/>
      <c r="AA50" s="505"/>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0" t="str">
        <v>1</v>
      </c>
      <c r="AJ50" s="157"/>
      <c r="AK50" s="157"/>
      <c r="AL50" s="157"/>
      <c r="AM50" s="157"/>
      <c r="AN50" s="157"/>
    </row>
    <row r="51" spans="1:73" s="25" customFormat="1" ht="15.75">
      <c r="B51" s="263"/>
      <c r="C51" s="554"/>
      <c r="D51" s="73"/>
      <c r="E51" s="105"/>
      <c r="F51" s="710"/>
      <c r="G51" s="711"/>
      <c r="H51" s="71"/>
      <c r="I51" s="719"/>
      <c r="J51" s="720"/>
      <c r="K51" s="720"/>
      <c r="L51" s="949" t="str">
        <f t="shared" si="9"/>
        <v/>
      </c>
      <c r="M51" s="950"/>
      <c r="N51" s="951"/>
      <c r="O51" s="74"/>
      <c r="P51" s="12"/>
      <c r="R51" s="655"/>
      <c r="T51" s="664" t="str">
        <f>IF(D51="","",VLOOKUP(D51,'9. All Habitats + Multipliers'!$C$4:$K$102,5,FALSE))</f>
        <v/>
      </c>
      <c r="U51" s="665"/>
      <c r="V51" s="94" t="str">
        <f>IF(T51="","",VLOOKUP(T51,'11. Lists'!$B$47:$D$49,2,FALSE))</f>
        <v/>
      </c>
      <c r="W51" s="93" t="str">
        <f t="shared" si="11"/>
        <v/>
      </c>
      <c r="X51" s="94" t="str">
        <f>IF(W51="","",VLOOKUP(W51,'11. Lists'!$F$47:$G$51,2,FALSE))</f>
        <v/>
      </c>
      <c r="Y51" s="370"/>
      <c r="Z51" s="341"/>
      <c r="AA51" s="505"/>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0" t="str">
        <v>1</v>
      </c>
      <c r="AJ51" s="157"/>
      <c r="AK51" s="157"/>
      <c r="AL51" s="157"/>
      <c r="AM51" s="157"/>
      <c r="AN51" s="157"/>
    </row>
    <row r="52" spans="1:73" s="25" customFormat="1" ht="15.75">
      <c r="B52" s="263"/>
      <c r="C52" s="554"/>
      <c r="D52" s="73"/>
      <c r="E52" s="105"/>
      <c r="F52" s="710"/>
      <c r="G52" s="711"/>
      <c r="H52" s="71"/>
      <c r="I52" s="719"/>
      <c r="J52" s="720"/>
      <c r="K52" s="720"/>
      <c r="L52" s="949" t="str">
        <f t="shared" si="9"/>
        <v/>
      </c>
      <c r="M52" s="950"/>
      <c r="N52" s="951"/>
      <c r="O52" s="74"/>
      <c r="P52" s="12"/>
      <c r="R52" s="655"/>
      <c r="T52" s="664" t="str">
        <f>IF(D52="","",VLOOKUP(D52,'9. All Habitats + Multipliers'!$C$4:$K$102,5,FALSE))</f>
        <v/>
      </c>
      <c r="U52" s="665"/>
      <c r="V52" s="94" t="str">
        <f>IF(T52="","",VLOOKUP(T52,'11. Lists'!$B$47:$D$49,2,FALSE))</f>
        <v/>
      </c>
      <c r="W52" s="93" t="str">
        <f t="shared" si="11"/>
        <v/>
      </c>
      <c r="X52" s="94" t="str">
        <f>IF(W52="","",VLOOKUP(W52,'11. Lists'!$F$47:$G$51,2,FALSE))</f>
        <v/>
      </c>
      <c r="Y52" s="370"/>
      <c r="Z52" s="341"/>
      <c r="AA52" s="505"/>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0" t="str">
        <v>1</v>
      </c>
      <c r="AJ52" s="157"/>
      <c r="AK52" s="157"/>
      <c r="AL52" s="157"/>
      <c r="AM52" s="157"/>
      <c r="AN52" s="157"/>
    </row>
    <row r="53" spans="1:73" s="25" customFormat="1" ht="15.75">
      <c r="B53" s="263"/>
      <c r="C53" s="554"/>
      <c r="D53" s="73"/>
      <c r="E53" s="105"/>
      <c r="F53" s="710"/>
      <c r="G53" s="711"/>
      <c r="H53" s="71"/>
      <c r="I53" s="719"/>
      <c r="J53" s="720"/>
      <c r="K53" s="720"/>
      <c r="L53" s="949" t="str">
        <f t="shared" si="9"/>
        <v/>
      </c>
      <c r="M53" s="950"/>
      <c r="N53" s="951"/>
      <c r="O53" s="74"/>
      <c r="P53" s="12"/>
      <c r="R53" s="655"/>
      <c r="T53" s="664" t="str">
        <f>IF(D53="","",VLOOKUP(D53,'9. All Habitats + Multipliers'!$C$4:$K$102,5,FALSE))</f>
        <v/>
      </c>
      <c r="U53" s="665"/>
      <c r="V53" s="94" t="str">
        <f>IF(T53="","",VLOOKUP(T53,'11. Lists'!$B$47:$D$49,2,FALSE))</f>
        <v/>
      </c>
      <c r="W53" s="93" t="str">
        <f t="shared" si="11"/>
        <v/>
      </c>
      <c r="X53" s="94" t="str">
        <f>IF(W53="","",VLOOKUP(W53,'11. Lists'!$F$47:$G$51,2,FALSE))</f>
        <v/>
      </c>
      <c r="Y53" s="370"/>
      <c r="Z53" s="341"/>
      <c r="AA53" s="505"/>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0" t="str">
        <v>1</v>
      </c>
      <c r="AJ53" s="157"/>
      <c r="AK53" s="157"/>
      <c r="AL53" s="157"/>
      <c r="AM53" s="157"/>
      <c r="AN53" s="157"/>
    </row>
    <row r="54" spans="1:73" s="25" customFormat="1" ht="15.75">
      <c r="B54" s="263"/>
      <c r="C54" s="554"/>
      <c r="D54" s="73"/>
      <c r="E54" s="105"/>
      <c r="F54" s="710"/>
      <c r="G54" s="711"/>
      <c r="H54" s="71"/>
      <c r="I54" s="719"/>
      <c r="J54" s="720"/>
      <c r="K54" s="720"/>
      <c r="L54" s="949" t="str">
        <f t="shared" si="9"/>
        <v/>
      </c>
      <c r="M54" s="950"/>
      <c r="N54" s="951"/>
      <c r="O54" s="74"/>
      <c r="P54" s="12"/>
      <c r="R54" s="655"/>
      <c r="T54" s="664" t="str">
        <f>IF(D54="","",VLOOKUP(D54,'9. All Habitats + Multipliers'!$C$4:$K$102,5,FALSE))</f>
        <v/>
      </c>
      <c r="U54" s="665"/>
      <c r="V54" s="94" t="str">
        <f>IF(T54="","",VLOOKUP(T54,'11. Lists'!$B$47:$D$49,2,FALSE))</f>
        <v/>
      </c>
      <c r="W54" s="93" t="str">
        <f t="shared" si="11"/>
        <v/>
      </c>
      <c r="X54" s="94" t="str">
        <f>IF(W54="","",VLOOKUP(W54,'11. Lists'!$F$47:$G$51,2,FALSE))</f>
        <v/>
      </c>
      <c r="Y54" s="370"/>
      <c r="Z54" s="341"/>
      <c r="AA54" s="505"/>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0" t="str">
        <v>1</v>
      </c>
      <c r="AJ54" s="157"/>
      <c r="AK54" s="157"/>
      <c r="AL54" s="157"/>
      <c r="AM54" s="157"/>
      <c r="AN54" s="157"/>
    </row>
    <row r="55" spans="1:73" s="25" customFormat="1" ht="15.75">
      <c r="B55" s="263"/>
      <c r="C55" s="554"/>
      <c r="D55" s="73"/>
      <c r="E55" s="105"/>
      <c r="F55" s="710"/>
      <c r="G55" s="711"/>
      <c r="H55" s="71"/>
      <c r="I55" s="719"/>
      <c r="J55" s="720"/>
      <c r="K55" s="720"/>
      <c r="L55" s="949" t="str">
        <f t="shared" si="9"/>
        <v/>
      </c>
      <c r="M55" s="950"/>
      <c r="N55" s="951"/>
      <c r="O55" s="74"/>
      <c r="P55" s="12"/>
      <c r="R55" s="655"/>
      <c r="T55" s="664" t="str">
        <f>IF(D55="","",VLOOKUP(D55,'9. All Habitats + Multipliers'!$C$4:$K$102,5,FALSE))</f>
        <v/>
      </c>
      <c r="U55" s="665"/>
      <c r="V55" s="94" t="str">
        <f>IF(T55="","",VLOOKUP(T55,'11. Lists'!$B$47:$D$49,2,FALSE))</f>
        <v/>
      </c>
      <c r="W55" s="93" t="str">
        <f t="shared" si="11"/>
        <v/>
      </c>
      <c r="X55" s="94" t="str">
        <f>IF(W55="","",VLOOKUP(W55,'11. Lists'!$F$47:$G$51,2,FALSE))</f>
        <v/>
      </c>
      <c r="Y55" s="370"/>
      <c r="Z55" s="341"/>
      <c r="AA55" s="505"/>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0" t="str">
        <v>1</v>
      </c>
      <c r="AJ55" s="157"/>
      <c r="AK55" s="157"/>
      <c r="AL55" s="157"/>
      <c r="AM55" s="157"/>
      <c r="AN55" s="157"/>
    </row>
    <row r="56" spans="1:73" s="25" customFormat="1" ht="15.75">
      <c r="B56" s="263"/>
      <c r="C56" s="554"/>
      <c r="D56" s="73"/>
      <c r="E56" s="105"/>
      <c r="F56" s="710"/>
      <c r="G56" s="711"/>
      <c r="H56" s="71"/>
      <c r="I56" s="719"/>
      <c r="J56" s="720"/>
      <c r="K56" s="720"/>
      <c r="L56" s="949" t="str">
        <f t="shared" si="9"/>
        <v/>
      </c>
      <c r="M56" s="950"/>
      <c r="N56" s="951"/>
      <c r="O56" s="74"/>
      <c r="P56" s="12"/>
      <c r="R56" s="655"/>
      <c r="T56" s="664" t="str">
        <f>IF(D56="","",VLOOKUP(D56,'9. All Habitats + Multipliers'!$C$4:$K$102,5,FALSE))</f>
        <v/>
      </c>
      <c r="U56" s="665"/>
      <c r="V56" s="94" t="str">
        <f>IF(T56="","",VLOOKUP(T56,'11. Lists'!$B$47:$D$49,2,FALSE))</f>
        <v/>
      </c>
      <c r="W56" s="93" t="str">
        <f t="shared" si="11"/>
        <v/>
      </c>
      <c r="X56" s="94" t="str">
        <f>IF(W56="","",VLOOKUP(W56,'11. Lists'!$F$47:$G$51,2,FALSE))</f>
        <v/>
      </c>
      <c r="Y56" s="370"/>
      <c r="Z56" s="341"/>
      <c r="AA56" s="505"/>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0" t="str">
        <v>1</v>
      </c>
      <c r="AJ56" s="157"/>
      <c r="AK56" s="157"/>
      <c r="AL56" s="157"/>
      <c r="AM56" s="157"/>
      <c r="AN56" s="157"/>
    </row>
    <row r="57" spans="1:73" s="25" customFormat="1" ht="15.75">
      <c r="B57" s="263"/>
      <c r="C57" s="554"/>
      <c r="D57" s="73"/>
      <c r="E57" s="105"/>
      <c r="F57" s="710"/>
      <c r="G57" s="711"/>
      <c r="H57" s="71"/>
      <c r="I57" s="719"/>
      <c r="J57" s="720"/>
      <c r="K57" s="720"/>
      <c r="L57" s="949" t="str">
        <f t="shared" si="9"/>
        <v/>
      </c>
      <c r="M57" s="950"/>
      <c r="N57" s="951"/>
      <c r="O57" s="74"/>
      <c r="P57" s="12"/>
      <c r="R57" s="655"/>
      <c r="T57" s="664" t="str">
        <f>IF(D57="","",VLOOKUP(D57,'9. All Habitats + Multipliers'!$C$4:$K$102,5,FALSE))</f>
        <v/>
      </c>
      <c r="U57" s="665"/>
      <c r="V57" s="94" t="str">
        <f>IF(T57="","",VLOOKUP(T57,'11. Lists'!$B$47:$D$49,2,FALSE))</f>
        <v/>
      </c>
      <c r="W57" s="93" t="str">
        <f t="shared" si="11"/>
        <v/>
      </c>
      <c r="X57" s="94" t="str">
        <f>IF(W57="","",VLOOKUP(W57,'11. Lists'!$F$47:$G$51,2,FALSE))</f>
        <v/>
      </c>
      <c r="Y57" s="370"/>
      <c r="Z57" s="341"/>
      <c r="AA57" s="505"/>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0" t="str">
        <v>1</v>
      </c>
      <c r="AJ57" s="157"/>
      <c r="AK57" s="157"/>
      <c r="AL57" s="157"/>
      <c r="AM57" s="157"/>
      <c r="AN57" s="157"/>
    </row>
    <row r="58" spans="1:73" s="25" customFormat="1" ht="15.75">
      <c r="B58" s="264"/>
      <c r="C58" s="555"/>
      <c r="D58" s="135"/>
      <c r="E58" s="136"/>
      <c r="F58" s="963"/>
      <c r="G58" s="964"/>
      <c r="H58" s="137"/>
      <c r="I58" s="944"/>
      <c r="J58" s="945"/>
      <c r="K58" s="945"/>
      <c r="L58" s="946" t="str">
        <f t="shared" si="9"/>
        <v/>
      </c>
      <c r="M58" s="947"/>
      <c r="N58" s="948"/>
      <c r="O58" s="75"/>
      <c r="P58" s="14"/>
      <c r="R58" s="655"/>
      <c r="T58" s="666" t="str">
        <f>IF(D58="","",VLOOKUP(D58,'9. All Habitats + Multipliers'!$C$4:$K$102,5,FALSE))</f>
        <v/>
      </c>
      <c r="U58" s="667"/>
      <c r="V58" s="99" t="str">
        <f>IF(T58="","",VLOOKUP(T58,'11. Lists'!$B$47:$D$49,2,FALSE))</f>
        <v/>
      </c>
      <c r="W58" s="98" t="str">
        <f t="shared" si="11"/>
        <v/>
      </c>
      <c r="X58" s="99" t="str">
        <f>IF(W58="","",VLOOKUP(W58,'11. Lists'!$F$47:$G$51,2,FALSE))</f>
        <v/>
      </c>
      <c r="Y58" s="370"/>
      <c r="Z58" s="341"/>
      <c r="AA58" s="505"/>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1" t="str">
        <v>1</v>
      </c>
      <c r="AJ58" s="157"/>
      <c r="AK58" s="157"/>
      <c r="AL58" s="157"/>
      <c r="AM58" s="157"/>
      <c r="AN58" s="157"/>
    </row>
    <row r="59" spans="1:73" s="25" customFormat="1">
      <c r="B59"/>
      <c r="C59"/>
      <c r="D59"/>
      <c r="E59"/>
      <c r="F59"/>
      <c r="G59"/>
      <c r="H59" s="268"/>
      <c r="I59" s="818"/>
      <c r="J59" s="819"/>
      <c r="K59" s="820"/>
      <c r="L59" s="864"/>
      <c r="M59" s="928"/>
      <c r="N59" s="865"/>
      <c r="O59"/>
      <c r="R59" s="655"/>
      <c r="AJ59" s="157"/>
      <c r="AK59" s="157"/>
      <c r="AL59" s="157"/>
      <c r="AM59" s="157"/>
      <c r="AN59" s="157"/>
    </row>
    <row r="60" spans="1:73" s="25" customFormat="1">
      <c r="R60" s="655"/>
      <c r="AJ60" s="157"/>
      <c r="AK60" s="157"/>
      <c r="AL60" s="157"/>
      <c r="AM60" s="157"/>
      <c r="AN60" s="157"/>
    </row>
    <row r="61" spans="1:73" s="25" customFormat="1">
      <c r="R61" s="655"/>
      <c r="AJ61" s="157"/>
      <c r="AK61" s="157"/>
      <c r="AL61" s="157"/>
      <c r="AM61" s="157"/>
      <c r="AN61" s="157"/>
      <c r="BA61" s="50" t="s">
        <v>127</v>
      </c>
    </row>
    <row r="62" spans="1:73" s="25" customFormat="1" ht="21">
      <c r="B62" s="57" t="s">
        <v>128</v>
      </c>
      <c r="D62" s="88"/>
      <c r="H62" s="26"/>
      <c r="R62" s="655"/>
      <c r="AJ62" s="157"/>
      <c r="AK62" s="157"/>
      <c r="AL62" s="157"/>
      <c r="AM62" s="157"/>
      <c r="AN62" s="157"/>
      <c r="BA62" s="50" t="s">
        <v>129</v>
      </c>
    </row>
    <row r="63" spans="1:73" s="25" customFormat="1">
      <c r="A63" s="879"/>
      <c r="R63" s="655"/>
      <c r="AJ63" s="157"/>
      <c r="AK63" s="157"/>
      <c r="AL63" s="157"/>
      <c r="AM63" s="157"/>
      <c r="AN63" s="157"/>
      <c r="BA63" s="929" t="s">
        <v>142</v>
      </c>
    </row>
    <row r="64" spans="1:73" s="25" customFormat="1" ht="16.149999999999999" customHeight="1">
      <c r="A64" s="879"/>
      <c r="B64" s="687" t="s">
        <v>130</v>
      </c>
      <c r="C64" s="683" t="s">
        <v>131</v>
      </c>
      <c r="D64" s="685"/>
      <c r="E64" s="726" t="s">
        <v>265</v>
      </c>
      <c r="F64" s="727"/>
      <c r="G64" s="728"/>
      <c r="H64" s="669" t="s">
        <v>133</v>
      </c>
      <c r="I64" s="669" t="s">
        <v>266</v>
      </c>
      <c r="J64" s="671" t="s">
        <v>135</v>
      </c>
      <c r="K64" s="671"/>
      <c r="L64" s="683" t="s">
        <v>136</v>
      </c>
      <c r="M64" s="684" t="s">
        <v>137</v>
      </c>
      <c r="N64" s="685"/>
      <c r="O64" s="749" t="s">
        <v>78</v>
      </c>
      <c r="P64" s="750"/>
      <c r="R64" s="655"/>
      <c r="T64" s="662" t="s">
        <v>138</v>
      </c>
      <c r="U64" s="663"/>
      <c r="V64" s="663"/>
      <c r="W64" s="663"/>
      <c r="X64" s="663"/>
      <c r="Y64" s="663"/>
      <c r="Z64" s="663"/>
      <c r="AA64" s="663"/>
      <c r="AB64" s="663"/>
      <c r="AC64" s="663"/>
      <c r="AD64" s="668"/>
      <c r="AE64" s="669" t="s">
        <v>139</v>
      </c>
      <c r="AF64" s="662" t="s">
        <v>140</v>
      </c>
      <c r="AG64" s="663"/>
      <c r="AH64" s="663"/>
      <c r="AI64" s="663"/>
      <c r="AJ64" s="663"/>
      <c r="AK64" s="663"/>
      <c r="AL64" s="663"/>
      <c r="AM64" s="663"/>
      <c r="AN64" s="663"/>
      <c r="AO64" s="663"/>
      <c r="AP64" s="668"/>
      <c r="AQ64" s="814" t="s">
        <v>141</v>
      </c>
      <c r="AR64" s="662" t="s">
        <v>140</v>
      </c>
      <c r="AS64" s="663"/>
      <c r="AT64" s="663"/>
      <c r="AU64" s="663"/>
      <c r="AV64" s="668"/>
      <c r="BA64" s="929"/>
      <c r="BB64" s="544">
        <f>COUNTIF(BB66:BB85,"?*")</f>
        <v>0</v>
      </c>
      <c r="BC64" s="184">
        <f t="shared" ref="BC64:BU64" si="12">COUNTIF(BC66:BC85,"?*")</f>
        <v>0</v>
      </c>
      <c r="BD64" s="184">
        <f t="shared" si="12"/>
        <v>0</v>
      </c>
      <c r="BE64" s="184">
        <f t="shared" si="12"/>
        <v>0</v>
      </c>
      <c r="BF64" s="184">
        <f t="shared" si="12"/>
        <v>0</v>
      </c>
      <c r="BG64" s="184">
        <f t="shared" si="12"/>
        <v>0</v>
      </c>
      <c r="BH64" s="184">
        <f t="shared" si="12"/>
        <v>0</v>
      </c>
      <c r="BI64" s="184">
        <f t="shared" si="12"/>
        <v>0</v>
      </c>
      <c r="BJ64" s="184">
        <f t="shared" si="12"/>
        <v>0</v>
      </c>
      <c r="BK64" s="184">
        <f t="shared" si="12"/>
        <v>0</v>
      </c>
      <c r="BL64" s="184">
        <f t="shared" si="12"/>
        <v>0</v>
      </c>
      <c r="BM64" s="184">
        <f t="shared" si="12"/>
        <v>0</v>
      </c>
      <c r="BN64" s="184">
        <f t="shared" si="12"/>
        <v>0</v>
      </c>
      <c r="BO64" s="184">
        <f t="shared" si="12"/>
        <v>0</v>
      </c>
      <c r="BP64" s="184">
        <f t="shared" si="12"/>
        <v>0</v>
      </c>
      <c r="BQ64" s="184">
        <f t="shared" si="12"/>
        <v>0</v>
      </c>
      <c r="BR64" s="184">
        <f t="shared" si="12"/>
        <v>0</v>
      </c>
      <c r="BS64" s="184">
        <f t="shared" si="12"/>
        <v>0</v>
      </c>
      <c r="BT64" s="184">
        <f t="shared" si="12"/>
        <v>0</v>
      </c>
      <c r="BU64" s="184">
        <f t="shared" si="12"/>
        <v>0</v>
      </c>
    </row>
    <row r="65" spans="1:76" s="25" customFormat="1" ht="45.6" customHeight="1">
      <c r="A65" s="879"/>
      <c r="B65" s="960"/>
      <c r="C65" s="423" t="s">
        <v>143</v>
      </c>
      <c r="D65" s="392" t="s">
        <v>144</v>
      </c>
      <c r="E65" s="390" t="s">
        <v>145</v>
      </c>
      <c r="F65" s="961" t="s">
        <v>146</v>
      </c>
      <c r="G65" s="962"/>
      <c r="H65" s="965"/>
      <c r="I65" s="965"/>
      <c r="J65" s="966"/>
      <c r="K65" s="966"/>
      <c r="L65" s="953"/>
      <c r="M65" s="954"/>
      <c r="N65" s="955"/>
      <c r="O65" s="393" t="s">
        <v>93</v>
      </c>
      <c r="P65" s="392" t="s">
        <v>94</v>
      </c>
      <c r="R65" s="655"/>
      <c r="T65" s="175" t="s">
        <v>147</v>
      </c>
      <c r="U65" s="111" t="s">
        <v>148</v>
      </c>
      <c r="V65" s="112" t="s">
        <v>149</v>
      </c>
      <c r="W65" s="366" t="s">
        <v>150</v>
      </c>
      <c r="X65" s="355" t="s">
        <v>151</v>
      </c>
      <c r="Y65" s="364"/>
      <c r="Z65" s="364"/>
      <c r="AA65" s="364"/>
      <c r="AB65" s="356" t="s">
        <v>152</v>
      </c>
      <c r="AC65" s="365" t="s">
        <v>153</v>
      </c>
      <c r="AD65" s="112" t="s">
        <v>154</v>
      </c>
      <c r="AE65" s="933"/>
      <c r="AF65" s="331" t="s">
        <v>147</v>
      </c>
      <c r="AG65" s="349" t="s">
        <v>95</v>
      </c>
      <c r="AH65" s="348" t="s">
        <v>96</v>
      </c>
      <c r="AI65" s="349" t="s">
        <v>97</v>
      </c>
      <c r="AJ65" s="465" t="s">
        <v>96</v>
      </c>
      <c r="AK65" s="466"/>
      <c r="AL65" s="466"/>
      <c r="AM65" s="466"/>
      <c r="AN65" s="465" t="s">
        <v>81</v>
      </c>
      <c r="AO65" s="351" t="s">
        <v>81</v>
      </c>
      <c r="AP65" s="348" t="s">
        <v>98</v>
      </c>
      <c r="AQ65" s="932"/>
      <c r="AR65" s="348" t="s">
        <v>155</v>
      </c>
      <c r="AS65" s="349" t="s">
        <v>156</v>
      </c>
      <c r="AT65" s="348" t="s">
        <v>157</v>
      </c>
      <c r="AU65" s="350" t="s">
        <v>158</v>
      </c>
      <c r="AV65" s="348" t="s">
        <v>159</v>
      </c>
      <c r="AW65" s="180" t="s">
        <v>160</v>
      </c>
      <c r="AX65" s="478" t="s">
        <v>161</v>
      </c>
      <c r="AY65" s="479" t="s">
        <v>267</v>
      </c>
      <c r="BA65" s="83" t="s">
        <v>163</v>
      </c>
      <c r="BB65" s="168">
        <v>1</v>
      </c>
      <c r="BC65" s="168">
        <v>2</v>
      </c>
      <c r="BD65" s="168">
        <v>3</v>
      </c>
      <c r="BE65" s="168">
        <v>4</v>
      </c>
      <c r="BF65" s="168">
        <v>5</v>
      </c>
      <c r="BG65" s="168">
        <v>6</v>
      </c>
      <c r="BH65" s="168">
        <v>7</v>
      </c>
      <c r="BI65" s="168">
        <v>8</v>
      </c>
      <c r="BJ65" s="168">
        <v>9</v>
      </c>
      <c r="BK65" s="168">
        <v>10</v>
      </c>
      <c r="BL65" s="168">
        <v>11</v>
      </c>
      <c r="BM65" s="168">
        <v>12</v>
      </c>
      <c r="BN65" s="168">
        <v>13</v>
      </c>
      <c r="BO65" s="168">
        <v>14</v>
      </c>
      <c r="BP65" s="168">
        <v>15</v>
      </c>
      <c r="BQ65" s="168">
        <v>16</v>
      </c>
      <c r="BR65" s="168">
        <v>17</v>
      </c>
      <c r="BS65" s="168">
        <v>18</v>
      </c>
      <c r="BT65" s="168">
        <v>19</v>
      </c>
      <c r="BU65" s="168">
        <v>20</v>
      </c>
      <c r="BV65" s="182" t="s">
        <v>164</v>
      </c>
      <c r="BW65" s="168" t="s">
        <v>165</v>
      </c>
      <c r="BX65" s="168" t="s">
        <v>166</v>
      </c>
    </row>
    <row r="66" spans="1:76" s="25" customFormat="1" ht="15.75">
      <c r="B66" s="269">
        <v>1</v>
      </c>
      <c r="C66" s="413" t="str">
        <f t="shared" ref="C66:C85" si="13">IF(D66="","",C11)</f>
        <v/>
      </c>
      <c r="D66" s="414" t="str">
        <f>IF(OR(K11="", K11=0),"",D11)</f>
        <v/>
      </c>
      <c r="E66" s="415" t="str">
        <f t="shared" ref="E66:E85" si="14">IF(AX66="","",AX66)</f>
        <v/>
      </c>
      <c r="F66" s="883"/>
      <c r="G66" s="884"/>
      <c r="H66" s="416" t="str">
        <f t="shared" ref="H66:H85" si="15">IF(D66="","",AB66)</f>
        <v/>
      </c>
      <c r="I66" s="421" t="str">
        <f>IF(OR(K11="",K11=0),"",K11)</f>
        <v/>
      </c>
      <c r="J66" s="967" t="str">
        <f>IF(F66="","",VLOOKUP(F66,'10. Condition and Temporal'!$B$6:$F$103,5,FALSE))</f>
        <v/>
      </c>
      <c r="K66" s="968"/>
      <c r="L66" s="293" t="str">
        <f>IFERROR(IF(D66="","",IF(AX66="Distinctiveness",(((((I66*AH66*AJ66*AY66)-(I66*V66*X66))*(AV66*AT66))+(I66*V66*X66))*AP66)/1000,((((I66*AH66*AJ66*AY66)-(I66*V66*X66*AJ11))*(AV66*AR66))+(I66*V66*X66*AJ11))*AP66/1000)),"This intervention is not permitted within the SSM ▲")</f>
        <v/>
      </c>
      <c r="M66" s="900" t="str">
        <f>IFERROR(IF(F66="","",L66-AD66), "Error ▲")</f>
        <v/>
      </c>
      <c r="N66" s="901"/>
      <c r="O66" s="216"/>
      <c r="P66" s="142"/>
      <c r="R66" s="655"/>
      <c r="T66" s="176" t="str">
        <f t="shared" ref="T66:T85" si="16">IF(D66="","",K11)</f>
        <v/>
      </c>
      <c r="U66" s="114" t="str">
        <f>IF($D66="","",T11)</f>
        <v/>
      </c>
      <c r="V66" s="115" t="str">
        <f t="shared" ref="V66:X85" si="17">IF($D66="","",V11)</f>
        <v/>
      </c>
      <c r="W66" s="113" t="str">
        <f t="shared" si="17"/>
        <v/>
      </c>
      <c r="X66" s="93" t="str">
        <f t="shared" si="17"/>
        <v/>
      </c>
      <c r="Y66" s="341"/>
      <c r="Z66" s="341"/>
      <c r="AA66" s="341"/>
      <c r="AB66" s="94" t="str">
        <f t="shared" ref="AB66:AB85" si="18">IF($D66="","",AB11)</f>
        <v/>
      </c>
      <c r="AC66" s="117" t="str">
        <f t="shared" ref="AC66:AC85" si="19">IF($D66="","",AD11)</f>
        <v/>
      </c>
      <c r="AD66" s="115" t="str">
        <f>IF(AC66="","",((T66*V66*X66)*AC66*AJ11)/1000)</f>
        <v/>
      </c>
      <c r="AE66" s="178"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5" t="str">
        <f>IF(AI66="","",VLOOKUP(AI66,'11. Lists'!$F$47:$G$51,2,FALSE))</f>
        <v/>
      </c>
      <c r="AK66" s="476"/>
      <c r="AL66" s="476"/>
      <c r="AM66" s="476"/>
      <c r="AN66" s="475"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7" t="str">
        <f t="shared" ref="AX66:AX85" si="23">IF(F66="","",IF(D66=F66,"Condition","Distinctiveness"))</f>
        <v/>
      </c>
      <c r="AY66" s="480" t="str">
        <f t="array" ref="AY66:AZ85">IF($F$66:$G$85="Culvert","0.68","1")</f>
        <v>1</v>
      </c>
      <c r="AZ66" s="477"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3" t="str">
        <f>IF(BX66=0,"",CONCATENATE(BW66,"66:",BW66,BX66+65))</f>
        <v/>
      </c>
      <c r="BW66" s="95" t="s">
        <v>167</v>
      </c>
      <c r="BX66" s="95">
        <f>BB64</f>
        <v>0</v>
      </c>
    </row>
    <row r="67" spans="1:76" s="25" customFormat="1" ht="15.75">
      <c r="B67" s="263">
        <v>2</v>
      </c>
      <c r="C67" s="119" t="str">
        <f t="shared" si="13"/>
        <v/>
      </c>
      <c r="D67" s="207" t="str">
        <f t="shared" ref="D67:D85" si="44">IF(OR(K12="", K12=0),"",D12)</f>
        <v/>
      </c>
      <c r="E67" s="165" t="str">
        <f t="shared" si="14"/>
        <v/>
      </c>
      <c r="F67" s="673"/>
      <c r="G67" s="674"/>
      <c r="H67" s="162" t="str">
        <f t="shared" si="15"/>
        <v/>
      </c>
      <c r="I67" s="315" t="str">
        <f t="shared" ref="I67:I85" si="45">IF(OR(K12="",K12=0),"",K12)</f>
        <v/>
      </c>
      <c r="J67" s="956" t="str">
        <f>IF(F67="","",VLOOKUP(F67,'10. Condition and Temporal'!$B$6:$F$103,5,FALSE))</f>
        <v/>
      </c>
      <c r="K67" s="957"/>
      <c r="L67" s="292"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5"/>
      <c r="T67" s="176" t="str">
        <f t="shared" si="16"/>
        <v/>
      </c>
      <c r="U67" s="114" t="str">
        <f t="shared" ref="U67:U85" si="48">IF($D67="","",T12)</f>
        <v/>
      </c>
      <c r="V67" s="115" t="str">
        <f t="shared" si="17"/>
        <v/>
      </c>
      <c r="W67" s="113" t="str">
        <f t="shared" si="17"/>
        <v/>
      </c>
      <c r="X67" s="93" t="str">
        <f t="shared" si="17"/>
        <v/>
      </c>
      <c r="Y67" s="341"/>
      <c r="Z67" s="341"/>
      <c r="AA67" s="341"/>
      <c r="AB67" s="94" t="str">
        <f t="shared" si="18"/>
        <v/>
      </c>
      <c r="AC67" s="117" t="str">
        <f t="shared" si="19"/>
        <v/>
      </c>
      <c r="AD67" s="115" t="str">
        <f t="shared" ref="AD67:AD85" si="49">IF(AC67="","",((T67*V67*X67)*AC67*AJ12)/1000)</f>
        <v/>
      </c>
      <c r="AE67" s="178"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5" t="str">
        <f>IF(AI67="","",VLOOKUP(AI67,'11. Lists'!$F$47:$G$51,2,FALSE))</f>
        <v/>
      </c>
      <c r="AK67" s="476"/>
      <c r="AL67" s="476"/>
      <c r="AM67" s="476"/>
      <c r="AN67" s="475"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7" t="str">
        <f t="shared" si="23"/>
        <v/>
      </c>
      <c r="AY67" s="480" t="str">
        <v>1</v>
      </c>
      <c r="AZ67" s="477"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3" t="str">
        <f t="shared" ref="BV67:BV85" si="51">IF(BX67=0,"",CONCATENATE(BW67,"66:",BW67,BX67+65))</f>
        <v/>
      </c>
      <c r="BW67" s="95" t="s">
        <v>241</v>
      </c>
      <c r="BX67" s="95">
        <f>BC64</f>
        <v>0</v>
      </c>
    </row>
    <row r="68" spans="1:76" s="25" customFormat="1" ht="15.75">
      <c r="B68" s="263">
        <v>3</v>
      </c>
      <c r="C68" s="119" t="str">
        <f t="shared" si="13"/>
        <v/>
      </c>
      <c r="D68" s="207" t="str">
        <f t="shared" si="44"/>
        <v/>
      </c>
      <c r="E68" s="165" t="str">
        <f t="shared" si="14"/>
        <v/>
      </c>
      <c r="F68" s="673"/>
      <c r="G68" s="674"/>
      <c r="H68" s="162" t="str">
        <f t="shared" si="15"/>
        <v/>
      </c>
      <c r="I68" s="315" t="str">
        <f t="shared" si="45"/>
        <v/>
      </c>
      <c r="J68" s="956" t="str">
        <f>IF(F68="","",VLOOKUP(F68,'10. Condition and Temporal'!$B$6:$F$103,5,FALSE))</f>
        <v/>
      </c>
      <c r="K68" s="957"/>
      <c r="L68" s="292" t="str">
        <f t="shared" si="46"/>
        <v/>
      </c>
      <c r="M68" s="950" t="str">
        <f t="shared" si="47"/>
        <v/>
      </c>
      <c r="N68" s="951"/>
      <c r="O68" s="74"/>
      <c r="P68" s="12"/>
      <c r="R68" s="655"/>
      <c r="T68" s="176" t="str">
        <f t="shared" si="16"/>
        <v/>
      </c>
      <c r="U68" s="114" t="str">
        <f t="shared" si="48"/>
        <v/>
      </c>
      <c r="V68" s="115" t="str">
        <f t="shared" si="17"/>
        <v/>
      </c>
      <c r="W68" s="113" t="str">
        <f t="shared" si="17"/>
        <v/>
      </c>
      <c r="X68" s="93" t="str">
        <f t="shared" si="17"/>
        <v/>
      </c>
      <c r="Y68" s="341"/>
      <c r="Z68" s="341"/>
      <c r="AA68" s="341"/>
      <c r="AB68" s="94" t="str">
        <f t="shared" si="18"/>
        <v/>
      </c>
      <c r="AC68" s="117" t="str">
        <f t="shared" si="19"/>
        <v/>
      </c>
      <c r="AD68" s="115" t="str">
        <f t="shared" si="49"/>
        <v/>
      </c>
      <c r="AE68" s="178" t="str">
        <f t="shared" si="50"/>
        <v/>
      </c>
      <c r="AF68" s="113" t="str">
        <f t="shared" si="20"/>
        <v/>
      </c>
      <c r="AG68" s="114" t="str">
        <f>IF(D68="","",VLOOKUP(F68,'9. All Habitats + Multipliers'!$C$4:$K$102,5,FALSE))</f>
        <v/>
      </c>
      <c r="AH68" s="115" t="str">
        <f>IF(AG68="","",VLOOKUP(AG68,'11. Lists'!$B$47:$D$49,2,FALSE))</f>
        <v/>
      </c>
      <c r="AI68" s="114" t="str">
        <f t="shared" si="21"/>
        <v/>
      </c>
      <c r="AJ68" s="475" t="str">
        <f>IF(AI68="","",VLOOKUP(AI68,'11. Lists'!$F$47:$G$51,2,FALSE))</f>
        <v/>
      </c>
      <c r="AK68" s="476"/>
      <c r="AL68" s="476"/>
      <c r="AM68" s="476"/>
      <c r="AN68" s="475"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7" t="str">
        <f t="shared" si="23"/>
        <v/>
      </c>
      <c r="AY68" s="480" t="str">
        <v>1</v>
      </c>
      <c r="AZ68" s="477"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3" t="str">
        <f t="shared" si="51"/>
        <v/>
      </c>
      <c r="BW68" s="95" t="s">
        <v>168</v>
      </c>
      <c r="BX68" s="95">
        <f>BD64</f>
        <v>0</v>
      </c>
    </row>
    <row r="69" spans="1:76" s="25" customFormat="1" ht="15.75">
      <c r="B69" s="263">
        <v>4</v>
      </c>
      <c r="C69" s="119" t="str">
        <f t="shared" si="13"/>
        <v/>
      </c>
      <c r="D69" s="207" t="str">
        <f t="shared" si="44"/>
        <v/>
      </c>
      <c r="E69" s="165" t="str">
        <f t="shared" si="14"/>
        <v/>
      </c>
      <c r="F69" s="673"/>
      <c r="G69" s="674"/>
      <c r="H69" s="162" t="str">
        <f t="shared" si="15"/>
        <v/>
      </c>
      <c r="I69" s="315" t="str">
        <f t="shared" si="45"/>
        <v/>
      </c>
      <c r="J69" s="956" t="str">
        <f>IF(F69="","",VLOOKUP(F69,'10. Condition and Temporal'!$B$6:$F$103,5,FALSE))</f>
        <v/>
      </c>
      <c r="K69" s="957"/>
      <c r="L69" s="292" t="str">
        <f t="shared" si="46"/>
        <v/>
      </c>
      <c r="M69" s="950" t="str">
        <f t="shared" si="47"/>
        <v/>
      </c>
      <c r="N69" s="951"/>
      <c r="O69" s="74"/>
      <c r="P69" s="12"/>
      <c r="R69" s="655"/>
      <c r="T69" s="176" t="str">
        <f t="shared" si="16"/>
        <v/>
      </c>
      <c r="U69" s="114" t="str">
        <f t="shared" si="48"/>
        <v/>
      </c>
      <c r="V69" s="115" t="str">
        <f t="shared" si="17"/>
        <v/>
      </c>
      <c r="W69" s="113" t="str">
        <f t="shared" si="17"/>
        <v/>
      </c>
      <c r="X69" s="93" t="str">
        <f t="shared" si="17"/>
        <v/>
      </c>
      <c r="Y69" s="341"/>
      <c r="Z69" s="341"/>
      <c r="AA69" s="341"/>
      <c r="AB69" s="94" t="str">
        <f t="shared" si="18"/>
        <v/>
      </c>
      <c r="AC69" s="117" t="str">
        <f t="shared" si="19"/>
        <v/>
      </c>
      <c r="AD69" s="115" t="str">
        <f t="shared" si="49"/>
        <v/>
      </c>
      <c r="AE69" s="178" t="str">
        <f t="shared" si="50"/>
        <v/>
      </c>
      <c r="AF69" s="113" t="str">
        <f t="shared" si="20"/>
        <v/>
      </c>
      <c r="AG69" s="114" t="str">
        <f>IF(D69="","",VLOOKUP(F69,'9. All Habitats + Multipliers'!$C$4:$K$102,5,FALSE))</f>
        <v/>
      </c>
      <c r="AH69" s="115" t="str">
        <f>IF(AG69="","",VLOOKUP(AG69,'11. Lists'!$B$47:$D$49,2,FALSE))</f>
        <v/>
      </c>
      <c r="AI69" s="114" t="str">
        <f t="shared" si="21"/>
        <v/>
      </c>
      <c r="AJ69" s="475" t="str">
        <f>IF(AI69="","",VLOOKUP(AI69,'11. Lists'!$F$47:$G$51,2,FALSE))</f>
        <v/>
      </c>
      <c r="AK69" s="476"/>
      <c r="AL69" s="476"/>
      <c r="AM69" s="476"/>
      <c r="AN69" s="475"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7" t="str">
        <f t="shared" si="23"/>
        <v/>
      </c>
      <c r="AY69" s="480" t="str">
        <v>1</v>
      </c>
      <c r="AZ69" s="477"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3" t="str">
        <f t="shared" si="51"/>
        <v/>
      </c>
      <c r="BW69" s="95" t="s">
        <v>169</v>
      </c>
      <c r="BX69" s="95">
        <f>BE64</f>
        <v>0</v>
      </c>
    </row>
    <row r="70" spans="1:76" s="25" customFormat="1" ht="15.75" customHeight="1">
      <c r="B70" s="263">
        <v>5</v>
      </c>
      <c r="C70" s="119" t="str">
        <f t="shared" si="13"/>
        <v/>
      </c>
      <c r="D70" s="207" t="str">
        <f t="shared" si="44"/>
        <v/>
      </c>
      <c r="E70" s="165" t="str">
        <f t="shared" si="14"/>
        <v/>
      </c>
      <c r="F70" s="673"/>
      <c r="G70" s="674"/>
      <c r="H70" s="162" t="str">
        <f t="shared" si="15"/>
        <v/>
      </c>
      <c r="I70" s="315" t="str">
        <f t="shared" si="45"/>
        <v/>
      </c>
      <c r="J70" s="956" t="str">
        <f>IF(F70="","",VLOOKUP(F70,'10. Condition and Temporal'!$B$6:$F$103,5,FALSE))</f>
        <v/>
      </c>
      <c r="K70" s="957"/>
      <c r="L70" s="292" t="str">
        <f t="shared" si="46"/>
        <v/>
      </c>
      <c r="M70" s="950" t="str">
        <f t="shared" si="47"/>
        <v/>
      </c>
      <c r="N70" s="951"/>
      <c r="O70" s="74"/>
      <c r="P70" s="12"/>
      <c r="R70" s="655"/>
      <c r="T70" s="176" t="str">
        <f t="shared" si="16"/>
        <v/>
      </c>
      <c r="U70" s="114" t="str">
        <f t="shared" si="48"/>
        <v/>
      </c>
      <c r="V70" s="115" t="str">
        <f t="shared" si="17"/>
        <v/>
      </c>
      <c r="W70" s="113" t="str">
        <f t="shared" si="17"/>
        <v/>
      </c>
      <c r="X70" s="93" t="str">
        <f t="shared" si="17"/>
        <v/>
      </c>
      <c r="Y70" s="341"/>
      <c r="Z70" s="341"/>
      <c r="AA70" s="341"/>
      <c r="AB70" s="94" t="str">
        <f t="shared" si="18"/>
        <v/>
      </c>
      <c r="AC70" s="117" t="str">
        <f t="shared" si="19"/>
        <v/>
      </c>
      <c r="AD70" s="115" t="str">
        <f t="shared" si="49"/>
        <v/>
      </c>
      <c r="AE70" s="178" t="str">
        <f t="shared" si="50"/>
        <v/>
      </c>
      <c r="AF70" s="113" t="str">
        <f t="shared" si="20"/>
        <v/>
      </c>
      <c r="AG70" s="114" t="str">
        <f>IF(D70="","",VLOOKUP(F70,'9. All Habitats + Multipliers'!$C$4:$K$102,5,FALSE))</f>
        <v/>
      </c>
      <c r="AH70" s="115" t="str">
        <f>IF(AG70="","",VLOOKUP(AG70,'11. Lists'!$B$47:$D$49,2,FALSE))</f>
        <v/>
      </c>
      <c r="AI70" s="114" t="str">
        <f t="shared" si="21"/>
        <v/>
      </c>
      <c r="AJ70" s="475" t="str">
        <f>IF(AI70="","",VLOOKUP(AI70,'11. Lists'!$F$47:$G$51,2,FALSE))</f>
        <v/>
      </c>
      <c r="AK70" s="476"/>
      <c r="AL70" s="476"/>
      <c r="AM70" s="476"/>
      <c r="AN70" s="475"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7" t="str">
        <f t="shared" si="23"/>
        <v/>
      </c>
      <c r="AY70" s="480" t="str">
        <v>1</v>
      </c>
      <c r="AZ70" s="477"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3" t="str">
        <f t="shared" si="51"/>
        <v/>
      </c>
      <c r="BW70" s="95" t="s">
        <v>170</v>
      </c>
      <c r="BX70" s="95">
        <f>BF64</f>
        <v>0</v>
      </c>
    </row>
    <row r="71" spans="1:76" s="25" customFormat="1" ht="15.75" customHeight="1">
      <c r="B71" s="263"/>
      <c r="C71" s="119" t="str">
        <f t="shared" si="13"/>
        <v/>
      </c>
      <c r="D71" s="207" t="str">
        <f t="shared" si="44"/>
        <v/>
      </c>
      <c r="E71" s="165" t="str">
        <f t="shared" si="14"/>
        <v/>
      </c>
      <c r="F71" s="673"/>
      <c r="G71" s="674"/>
      <c r="H71" s="162" t="str">
        <f t="shared" si="15"/>
        <v/>
      </c>
      <c r="I71" s="315" t="str">
        <f t="shared" si="45"/>
        <v/>
      </c>
      <c r="J71" s="956"/>
      <c r="K71" s="957"/>
      <c r="L71" s="292" t="str">
        <f t="shared" si="46"/>
        <v/>
      </c>
      <c r="M71" s="950" t="str">
        <f t="shared" si="47"/>
        <v/>
      </c>
      <c r="N71" s="951"/>
      <c r="O71" s="74"/>
      <c r="P71" s="12"/>
      <c r="R71" s="655"/>
      <c r="T71" s="176" t="str">
        <f t="shared" si="16"/>
        <v/>
      </c>
      <c r="U71" s="114" t="str">
        <f t="shared" si="48"/>
        <v/>
      </c>
      <c r="V71" s="115" t="str">
        <f t="shared" si="17"/>
        <v/>
      </c>
      <c r="W71" s="113" t="str">
        <f t="shared" si="17"/>
        <v/>
      </c>
      <c r="X71" s="93" t="str">
        <f t="shared" si="17"/>
        <v/>
      </c>
      <c r="Y71" s="341"/>
      <c r="Z71" s="341"/>
      <c r="AA71" s="341"/>
      <c r="AB71" s="94" t="str">
        <f t="shared" si="18"/>
        <v/>
      </c>
      <c r="AC71" s="117" t="str">
        <f t="shared" si="19"/>
        <v/>
      </c>
      <c r="AD71" s="115" t="str">
        <f t="shared" si="49"/>
        <v/>
      </c>
      <c r="AE71" s="178" t="str">
        <f t="shared" si="50"/>
        <v/>
      </c>
      <c r="AF71" s="113" t="str">
        <f t="shared" si="20"/>
        <v/>
      </c>
      <c r="AG71" s="114" t="str">
        <f>IF(D71="","",VLOOKUP(F71,'9. All Habitats + Multipliers'!$C$4:$K$102,5,FALSE))</f>
        <v/>
      </c>
      <c r="AH71" s="115" t="str">
        <f>IF(AG71="","",VLOOKUP(AG71,'11. Lists'!$B$47:$D$49,2,FALSE))</f>
        <v/>
      </c>
      <c r="AI71" s="114" t="str">
        <f t="shared" si="21"/>
        <v/>
      </c>
      <c r="AJ71" s="475" t="str">
        <f>IF(AI71="","",VLOOKUP(AI71,'11. Lists'!$F$47:$G$51,2,FALSE))</f>
        <v/>
      </c>
      <c r="AK71" s="476"/>
      <c r="AL71" s="476"/>
      <c r="AM71" s="476"/>
      <c r="AN71" s="475"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7" t="str">
        <f t="shared" si="23"/>
        <v/>
      </c>
      <c r="AY71" s="480" t="str">
        <v>1</v>
      </c>
      <c r="AZ71" s="477"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3" t="str">
        <f t="shared" si="51"/>
        <v/>
      </c>
      <c r="BW71" s="95" t="s">
        <v>171</v>
      </c>
      <c r="BX71" s="95">
        <f>BG64</f>
        <v>0</v>
      </c>
    </row>
    <row r="72" spans="1:76" s="25" customFormat="1" ht="15.75" customHeight="1">
      <c r="B72" s="263"/>
      <c r="C72" s="119" t="str">
        <f t="shared" si="13"/>
        <v/>
      </c>
      <c r="D72" s="207" t="str">
        <f t="shared" si="44"/>
        <v/>
      </c>
      <c r="E72" s="165" t="str">
        <f t="shared" si="14"/>
        <v/>
      </c>
      <c r="F72" s="673"/>
      <c r="G72" s="674"/>
      <c r="H72" s="162" t="str">
        <f t="shared" si="15"/>
        <v/>
      </c>
      <c r="I72" s="315" t="str">
        <f t="shared" si="45"/>
        <v/>
      </c>
      <c r="J72" s="956"/>
      <c r="K72" s="957"/>
      <c r="L72" s="292" t="str">
        <f t="shared" si="46"/>
        <v/>
      </c>
      <c r="M72" s="950" t="str">
        <f t="shared" si="47"/>
        <v/>
      </c>
      <c r="N72" s="951"/>
      <c r="O72" s="74"/>
      <c r="P72" s="12"/>
      <c r="R72" s="655"/>
      <c r="T72" s="176" t="str">
        <f t="shared" si="16"/>
        <v/>
      </c>
      <c r="U72" s="114" t="str">
        <f t="shared" si="48"/>
        <v/>
      </c>
      <c r="V72" s="115" t="str">
        <f t="shared" si="17"/>
        <v/>
      </c>
      <c r="W72" s="113" t="str">
        <f t="shared" si="17"/>
        <v/>
      </c>
      <c r="X72" s="93" t="str">
        <f t="shared" si="17"/>
        <v/>
      </c>
      <c r="Y72" s="341"/>
      <c r="Z72" s="341"/>
      <c r="AA72" s="341"/>
      <c r="AB72" s="94" t="str">
        <f t="shared" si="18"/>
        <v/>
      </c>
      <c r="AC72" s="117" t="str">
        <f t="shared" si="19"/>
        <v/>
      </c>
      <c r="AD72" s="115" t="str">
        <f t="shared" si="49"/>
        <v/>
      </c>
      <c r="AE72" s="178" t="str">
        <f t="shared" si="50"/>
        <v/>
      </c>
      <c r="AF72" s="113" t="str">
        <f t="shared" si="20"/>
        <v/>
      </c>
      <c r="AG72" s="114" t="str">
        <f>IF(D72="","",VLOOKUP(F72,'9. All Habitats + Multipliers'!$C$4:$K$102,5,FALSE))</f>
        <v/>
      </c>
      <c r="AH72" s="115" t="str">
        <f>IF(AG72="","",VLOOKUP(AG72,'11. Lists'!$B$47:$D$49,2,FALSE))</f>
        <v/>
      </c>
      <c r="AI72" s="114" t="str">
        <f t="shared" si="21"/>
        <v/>
      </c>
      <c r="AJ72" s="475" t="str">
        <f>IF(AI72="","",VLOOKUP(AI72,'11. Lists'!$F$47:$G$51,2,FALSE))</f>
        <v/>
      </c>
      <c r="AK72" s="476"/>
      <c r="AL72" s="476"/>
      <c r="AM72" s="476"/>
      <c r="AN72" s="475"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7" t="str">
        <f t="shared" si="23"/>
        <v/>
      </c>
      <c r="AY72" s="480" t="str">
        <v>1</v>
      </c>
      <c r="AZ72" s="477"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3" t="str">
        <f t="shared" si="51"/>
        <v/>
      </c>
      <c r="BW72" s="95" t="s">
        <v>172</v>
      </c>
      <c r="BX72" s="95">
        <f>BH64</f>
        <v>0</v>
      </c>
    </row>
    <row r="73" spans="1:76" s="25" customFormat="1" ht="15.75">
      <c r="B73" s="263"/>
      <c r="C73" s="119" t="str">
        <f t="shared" si="13"/>
        <v/>
      </c>
      <c r="D73" s="207" t="str">
        <f t="shared" si="44"/>
        <v/>
      </c>
      <c r="E73" s="165" t="str">
        <f t="shared" si="14"/>
        <v/>
      </c>
      <c r="F73" s="673"/>
      <c r="G73" s="674"/>
      <c r="H73" s="162" t="str">
        <f t="shared" si="15"/>
        <v/>
      </c>
      <c r="I73" s="315" t="str">
        <f t="shared" si="45"/>
        <v/>
      </c>
      <c r="J73" s="956"/>
      <c r="K73" s="957"/>
      <c r="L73" s="292" t="str">
        <f t="shared" si="46"/>
        <v/>
      </c>
      <c r="M73" s="950" t="str">
        <f t="shared" si="47"/>
        <v/>
      </c>
      <c r="N73" s="951"/>
      <c r="O73" s="74"/>
      <c r="P73" s="12"/>
      <c r="R73" s="655"/>
      <c r="T73" s="176" t="str">
        <f t="shared" si="16"/>
        <v/>
      </c>
      <c r="U73" s="114" t="str">
        <f t="shared" si="48"/>
        <v/>
      </c>
      <c r="V73" s="115" t="str">
        <f t="shared" si="17"/>
        <v/>
      </c>
      <c r="W73" s="113" t="str">
        <f t="shared" si="17"/>
        <v/>
      </c>
      <c r="X73" s="93" t="str">
        <f t="shared" si="17"/>
        <v/>
      </c>
      <c r="Y73" s="341"/>
      <c r="Z73" s="341"/>
      <c r="AA73" s="341"/>
      <c r="AB73" s="94" t="str">
        <f t="shared" si="18"/>
        <v/>
      </c>
      <c r="AC73" s="117" t="str">
        <f t="shared" si="19"/>
        <v/>
      </c>
      <c r="AD73" s="115" t="str">
        <f t="shared" si="49"/>
        <v/>
      </c>
      <c r="AE73" s="178" t="str">
        <f t="shared" si="50"/>
        <v/>
      </c>
      <c r="AF73" s="113" t="str">
        <f t="shared" si="20"/>
        <v/>
      </c>
      <c r="AG73" s="114" t="str">
        <f>IF(D73="","",VLOOKUP(F73,'9. All Habitats + Multipliers'!$C$4:$K$102,5,FALSE))</f>
        <v/>
      </c>
      <c r="AH73" s="115" t="str">
        <f>IF(AG73="","",VLOOKUP(AG73,'11. Lists'!$B$47:$D$49,2,FALSE))</f>
        <v/>
      </c>
      <c r="AI73" s="114" t="str">
        <f t="shared" si="21"/>
        <v/>
      </c>
      <c r="AJ73" s="475" t="str">
        <f>IF(AI73="","",VLOOKUP(AI73,'11. Lists'!$F$47:$G$51,2,FALSE))</f>
        <v/>
      </c>
      <c r="AK73" s="476"/>
      <c r="AL73" s="476"/>
      <c r="AM73" s="476"/>
      <c r="AN73" s="475"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7" t="str">
        <f t="shared" si="23"/>
        <v/>
      </c>
      <c r="AY73" s="480" t="str">
        <v>1</v>
      </c>
      <c r="AZ73" s="477"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3" t="str">
        <f t="shared" si="51"/>
        <v/>
      </c>
      <c r="BW73" s="95" t="s">
        <v>173</v>
      </c>
      <c r="BX73" s="95">
        <f>BI64</f>
        <v>0</v>
      </c>
    </row>
    <row r="74" spans="1:76" s="25" customFormat="1" ht="15.75" customHeight="1">
      <c r="B74" s="263"/>
      <c r="C74" s="119" t="str">
        <f t="shared" si="13"/>
        <v/>
      </c>
      <c r="D74" s="207" t="str">
        <f t="shared" si="44"/>
        <v/>
      </c>
      <c r="E74" s="165" t="str">
        <f t="shared" si="14"/>
        <v/>
      </c>
      <c r="F74" s="673"/>
      <c r="G74" s="674"/>
      <c r="H74" s="162" t="str">
        <f t="shared" si="15"/>
        <v/>
      </c>
      <c r="I74" s="315" t="str">
        <f t="shared" si="45"/>
        <v/>
      </c>
      <c r="J74" s="956"/>
      <c r="K74" s="957"/>
      <c r="L74" s="292" t="str">
        <f t="shared" si="46"/>
        <v/>
      </c>
      <c r="M74" s="950" t="str">
        <f t="shared" si="47"/>
        <v/>
      </c>
      <c r="N74" s="951"/>
      <c r="O74" s="74"/>
      <c r="P74" s="12"/>
      <c r="R74" s="655"/>
      <c r="T74" s="176" t="str">
        <f t="shared" si="16"/>
        <v/>
      </c>
      <c r="U74" s="114" t="str">
        <f t="shared" si="48"/>
        <v/>
      </c>
      <c r="V74" s="115" t="str">
        <f t="shared" si="17"/>
        <v/>
      </c>
      <c r="W74" s="113" t="str">
        <f t="shared" si="17"/>
        <v/>
      </c>
      <c r="X74" s="93" t="str">
        <f t="shared" si="17"/>
        <v/>
      </c>
      <c r="Y74" s="341"/>
      <c r="Z74" s="341"/>
      <c r="AA74" s="341"/>
      <c r="AB74" s="94" t="str">
        <f t="shared" si="18"/>
        <v/>
      </c>
      <c r="AC74" s="117" t="str">
        <f t="shared" si="19"/>
        <v/>
      </c>
      <c r="AD74" s="115" t="str">
        <f t="shared" si="49"/>
        <v/>
      </c>
      <c r="AE74" s="178" t="str">
        <f t="shared" si="50"/>
        <v/>
      </c>
      <c r="AF74" s="113" t="str">
        <f t="shared" si="20"/>
        <v/>
      </c>
      <c r="AG74" s="114" t="str">
        <f>IF(D74="","",VLOOKUP(F74,'9. All Habitats + Multipliers'!$C$4:$K$102,5,FALSE))</f>
        <v/>
      </c>
      <c r="AH74" s="115" t="str">
        <f>IF(AG74="","",VLOOKUP(AG74,'11. Lists'!$B$47:$D$49,2,FALSE))</f>
        <v/>
      </c>
      <c r="AI74" s="114" t="str">
        <f t="shared" si="21"/>
        <v/>
      </c>
      <c r="AJ74" s="475" t="str">
        <f>IF(AI74="","",VLOOKUP(AI74,'11. Lists'!$F$47:$G$51,2,FALSE))</f>
        <v/>
      </c>
      <c r="AK74" s="476"/>
      <c r="AL74" s="476"/>
      <c r="AM74" s="476"/>
      <c r="AN74" s="475"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7" t="str">
        <f t="shared" si="23"/>
        <v/>
      </c>
      <c r="AY74" s="480" t="str">
        <v>1</v>
      </c>
      <c r="AZ74" s="477"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3" t="str">
        <f t="shared" si="51"/>
        <v/>
      </c>
      <c r="BW74" s="95" t="s">
        <v>174</v>
      </c>
      <c r="BX74" s="95">
        <f>BJ64</f>
        <v>0</v>
      </c>
    </row>
    <row r="75" spans="1:76" s="25" customFormat="1" ht="15.75" customHeight="1">
      <c r="B75" s="263"/>
      <c r="C75" s="119" t="str">
        <f t="shared" si="13"/>
        <v/>
      </c>
      <c r="D75" s="207" t="str">
        <f t="shared" si="44"/>
        <v/>
      </c>
      <c r="E75" s="165" t="str">
        <f t="shared" si="14"/>
        <v/>
      </c>
      <c r="F75" s="673"/>
      <c r="G75" s="674"/>
      <c r="H75" s="162" t="str">
        <f t="shared" si="15"/>
        <v/>
      </c>
      <c r="I75" s="315" t="str">
        <f t="shared" si="45"/>
        <v/>
      </c>
      <c r="J75" s="956"/>
      <c r="K75" s="957"/>
      <c r="L75" s="292" t="str">
        <f t="shared" si="46"/>
        <v/>
      </c>
      <c r="M75" s="950" t="str">
        <f t="shared" si="47"/>
        <v/>
      </c>
      <c r="N75" s="951"/>
      <c r="O75" s="74"/>
      <c r="P75" s="12"/>
      <c r="R75" s="655"/>
      <c r="T75" s="176" t="str">
        <f t="shared" si="16"/>
        <v/>
      </c>
      <c r="U75" s="114" t="str">
        <f t="shared" si="48"/>
        <v/>
      </c>
      <c r="V75" s="115" t="str">
        <f t="shared" si="17"/>
        <v/>
      </c>
      <c r="W75" s="113" t="str">
        <f t="shared" si="17"/>
        <v/>
      </c>
      <c r="X75" s="93" t="str">
        <f t="shared" si="17"/>
        <v/>
      </c>
      <c r="Y75" s="341"/>
      <c r="Z75" s="341"/>
      <c r="AA75" s="341"/>
      <c r="AB75" s="94" t="str">
        <f t="shared" si="18"/>
        <v/>
      </c>
      <c r="AC75" s="117" t="str">
        <f t="shared" si="19"/>
        <v/>
      </c>
      <c r="AD75" s="115" t="str">
        <f t="shared" si="49"/>
        <v/>
      </c>
      <c r="AE75" s="178" t="str">
        <f t="shared" si="50"/>
        <v/>
      </c>
      <c r="AF75" s="113" t="str">
        <f t="shared" si="20"/>
        <v/>
      </c>
      <c r="AG75" s="114" t="str">
        <f>IF(D75="","",VLOOKUP(F75,'9. All Habitats + Multipliers'!$C$4:$K$102,5,FALSE))</f>
        <v/>
      </c>
      <c r="AH75" s="115" t="str">
        <f>IF(AG75="","",VLOOKUP(AG75,'11. Lists'!$B$47:$D$49,2,FALSE))</f>
        <v/>
      </c>
      <c r="AI75" s="114" t="str">
        <f t="shared" si="21"/>
        <v/>
      </c>
      <c r="AJ75" s="475" t="str">
        <f>IF(AI75="","",VLOOKUP(AI75,'11. Lists'!$F$47:$G$51,2,FALSE))</f>
        <v/>
      </c>
      <c r="AK75" s="476"/>
      <c r="AL75" s="476"/>
      <c r="AM75" s="476"/>
      <c r="AN75" s="475"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7" t="str">
        <f t="shared" si="23"/>
        <v/>
      </c>
      <c r="AY75" s="480" t="str">
        <v>1</v>
      </c>
      <c r="AZ75" s="477"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3" t="str">
        <f t="shared" si="51"/>
        <v/>
      </c>
      <c r="BW75" s="95" t="s">
        <v>175</v>
      </c>
      <c r="BX75" s="95">
        <f>BK64</f>
        <v>0</v>
      </c>
    </row>
    <row r="76" spans="1:76" s="25" customFormat="1" ht="15.75">
      <c r="B76" s="263"/>
      <c r="C76" s="119" t="str">
        <f t="shared" si="13"/>
        <v/>
      </c>
      <c r="D76" s="207" t="str">
        <f t="shared" si="44"/>
        <v/>
      </c>
      <c r="E76" s="165" t="str">
        <f t="shared" si="14"/>
        <v/>
      </c>
      <c r="F76" s="673"/>
      <c r="G76" s="674"/>
      <c r="H76" s="162" t="str">
        <f t="shared" si="15"/>
        <v/>
      </c>
      <c r="I76" s="315" t="str">
        <f t="shared" si="45"/>
        <v/>
      </c>
      <c r="J76" s="956"/>
      <c r="K76" s="957"/>
      <c r="L76" s="292" t="str">
        <f t="shared" si="46"/>
        <v/>
      </c>
      <c r="M76" s="950" t="str">
        <f t="shared" si="47"/>
        <v/>
      </c>
      <c r="N76" s="951"/>
      <c r="O76" s="74"/>
      <c r="P76" s="12"/>
      <c r="R76" s="655"/>
      <c r="T76" s="176" t="str">
        <f t="shared" si="16"/>
        <v/>
      </c>
      <c r="U76" s="114" t="str">
        <f t="shared" si="48"/>
        <v/>
      </c>
      <c r="V76" s="115" t="str">
        <f t="shared" si="17"/>
        <v/>
      </c>
      <c r="W76" s="113" t="str">
        <f t="shared" si="17"/>
        <v/>
      </c>
      <c r="X76" s="93" t="str">
        <f t="shared" si="17"/>
        <v/>
      </c>
      <c r="Y76" s="341"/>
      <c r="Z76" s="341"/>
      <c r="AA76" s="341"/>
      <c r="AB76" s="94" t="str">
        <f t="shared" si="18"/>
        <v/>
      </c>
      <c r="AC76" s="117" t="str">
        <f t="shared" si="19"/>
        <v/>
      </c>
      <c r="AD76" s="115" t="str">
        <f t="shared" si="49"/>
        <v/>
      </c>
      <c r="AE76" s="178" t="str">
        <f t="shared" si="50"/>
        <v/>
      </c>
      <c r="AF76" s="113" t="str">
        <f t="shared" si="20"/>
        <v/>
      </c>
      <c r="AG76" s="114" t="str">
        <f>IF(D76="","",VLOOKUP(F76,'9. All Habitats + Multipliers'!$C$4:$K$102,5,FALSE))</f>
        <v/>
      </c>
      <c r="AH76" s="115" t="str">
        <f>IF(AG76="","",VLOOKUP(AG76,'11. Lists'!$B$47:$D$49,2,FALSE))</f>
        <v/>
      </c>
      <c r="AI76" s="114" t="str">
        <f t="shared" si="21"/>
        <v/>
      </c>
      <c r="AJ76" s="475" t="str">
        <f>IF(AI76="","",VLOOKUP(AI76,'11. Lists'!$F$47:$G$51,2,FALSE))</f>
        <v/>
      </c>
      <c r="AK76" s="476"/>
      <c r="AL76" s="476"/>
      <c r="AM76" s="476"/>
      <c r="AN76" s="475"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7" t="str">
        <f t="shared" si="23"/>
        <v/>
      </c>
      <c r="AY76" s="480" t="str">
        <v>1</v>
      </c>
      <c r="AZ76" s="477"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3" t="str">
        <f t="shared" si="51"/>
        <v/>
      </c>
      <c r="BW76" s="95" t="s">
        <v>176</v>
      </c>
      <c r="BX76" s="95">
        <f>BL64</f>
        <v>0</v>
      </c>
    </row>
    <row r="77" spans="1:76" s="25" customFormat="1" ht="15.75" customHeight="1">
      <c r="B77" s="263"/>
      <c r="C77" s="119" t="str">
        <f t="shared" si="13"/>
        <v/>
      </c>
      <c r="D77" s="207" t="str">
        <f t="shared" si="44"/>
        <v/>
      </c>
      <c r="E77" s="165" t="str">
        <f t="shared" si="14"/>
        <v/>
      </c>
      <c r="F77" s="673"/>
      <c r="G77" s="674"/>
      <c r="H77" s="162" t="str">
        <f t="shared" si="15"/>
        <v/>
      </c>
      <c r="I77" s="315" t="str">
        <f t="shared" si="45"/>
        <v/>
      </c>
      <c r="J77" s="956"/>
      <c r="K77" s="957"/>
      <c r="L77" s="292" t="str">
        <f t="shared" si="46"/>
        <v/>
      </c>
      <c r="M77" s="950" t="str">
        <f t="shared" si="47"/>
        <v/>
      </c>
      <c r="N77" s="951"/>
      <c r="O77" s="74"/>
      <c r="P77" s="12"/>
      <c r="R77" s="655"/>
      <c r="T77" s="176" t="str">
        <f t="shared" si="16"/>
        <v/>
      </c>
      <c r="U77" s="114" t="str">
        <f t="shared" si="48"/>
        <v/>
      </c>
      <c r="V77" s="115" t="str">
        <f t="shared" si="17"/>
        <v/>
      </c>
      <c r="W77" s="113" t="str">
        <f t="shared" si="17"/>
        <v/>
      </c>
      <c r="X77" s="93" t="str">
        <f t="shared" si="17"/>
        <v/>
      </c>
      <c r="Y77" s="341"/>
      <c r="Z77" s="341"/>
      <c r="AA77" s="341"/>
      <c r="AB77" s="94" t="str">
        <f t="shared" si="18"/>
        <v/>
      </c>
      <c r="AC77" s="117" t="str">
        <f t="shared" si="19"/>
        <v/>
      </c>
      <c r="AD77" s="115" t="str">
        <f t="shared" si="49"/>
        <v/>
      </c>
      <c r="AE77" s="178" t="str">
        <f t="shared" si="50"/>
        <v/>
      </c>
      <c r="AF77" s="113" t="str">
        <f t="shared" si="20"/>
        <v/>
      </c>
      <c r="AG77" s="114" t="str">
        <f>IF(D77="","",VLOOKUP(F77,'9. All Habitats + Multipliers'!$C$4:$K$102,5,FALSE))</f>
        <v/>
      </c>
      <c r="AH77" s="115" t="str">
        <f>IF(AG77="","",VLOOKUP(AG77,'11. Lists'!$B$47:$D$49,2,FALSE))</f>
        <v/>
      </c>
      <c r="AI77" s="114" t="str">
        <f t="shared" si="21"/>
        <v/>
      </c>
      <c r="AJ77" s="475" t="str">
        <f>IF(AI77="","",VLOOKUP(AI77,'11. Lists'!$F$47:$G$51,2,FALSE))</f>
        <v/>
      </c>
      <c r="AK77" s="476"/>
      <c r="AL77" s="476"/>
      <c r="AM77" s="476"/>
      <c r="AN77" s="475"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7" t="str">
        <f t="shared" si="23"/>
        <v/>
      </c>
      <c r="AY77" s="480" t="str">
        <v>1</v>
      </c>
      <c r="AZ77" s="477"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3" t="str">
        <f t="shared" si="51"/>
        <v/>
      </c>
      <c r="BW77" s="95" t="s">
        <v>177</v>
      </c>
      <c r="BX77" s="95">
        <f>BM64</f>
        <v>0</v>
      </c>
    </row>
    <row r="78" spans="1:76" s="25" customFormat="1" ht="15.75" customHeight="1">
      <c r="B78" s="263"/>
      <c r="C78" s="119" t="str">
        <f t="shared" si="13"/>
        <v/>
      </c>
      <c r="D78" s="207" t="str">
        <f t="shared" si="44"/>
        <v/>
      </c>
      <c r="E78" s="165" t="str">
        <f t="shared" si="14"/>
        <v/>
      </c>
      <c r="F78" s="673"/>
      <c r="G78" s="674"/>
      <c r="H78" s="162" t="str">
        <f t="shared" si="15"/>
        <v/>
      </c>
      <c r="I78" s="315" t="str">
        <f t="shared" si="45"/>
        <v/>
      </c>
      <c r="J78" s="956"/>
      <c r="K78" s="957"/>
      <c r="L78" s="292" t="str">
        <f t="shared" si="46"/>
        <v/>
      </c>
      <c r="M78" s="950" t="str">
        <f t="shared" si="47"/>
        <v/>
      </c>
      <c r="N78" s="951"/>
      <c r="O78" s="74"/>
      <c r="P78" s="12"/>
      <c r="R78" s="655"/>
      <c r="T78" s="176" t="str">
        <f t="shared" si="16"/>
        <v/>
      </c>
      <c r="U78" s="114" t="str">
        <f t="shared" si="48"/>
        <v/>
      </c>
      <c r="V78" s="115" t="str">
        <f t="shared" si="17"/>
        <v/>
      </c>
      <c r="W78" s="113" t="str">
        <f t="shared" si="17"/>
        <v/>
      </c>
      <c r="X78" s="93" t="str">
        <f t="shared" si="17"/>
        <v/>
      </c>
      <c r="Y78" s="341"/>
      <c r="Z78" s="341"/>
      <c r="AA78" s="341"/>
      <c r="AB78" s="94" t="str">
        <f t="shared" si="18"/>
        <v/>
      </c>
      <c r="AC78" s="117" t="str">
        <f t="shared" si="19"/>
        <v/>
      </c>
      <c r="AD78" s="115" t="str">
        <f t="shared" si="49"/>
        <v/>
      </c>
      <c r="AE78" s="178" t="str">
        <f t="shared" si="50"/>
        <v/>
      </c>
      <c r="AF78" s="113" t="str">
        <f t="shared" si="20"/>
        <v/>
      </c>
      <c r="AG78" s="114" t="str">
        <f>IF(D78="","",VLOOKUP(F78,'9. All Habitats + Multipliers'!$C$4:$K$102,5,FALSE))</f>
        <v/>
      </c>
      <c r="AH78" s="115" t="str">
        <f>IF(AG78="","",VLOOKUP(AG78,'11. Lists'!$B$47:$D$49,2,FALSE))</f>
        <v/>
      </c>
      <c r="AI78" s="114" t="str">
        <f t="shared" si="21"/>
        <v/>
      </c>
      <c r="AJ78" s="475" t="str">
        <f>IF(AI78="","",VLOOKUP(AI78,'11. Lists'!$F$47:$G$51,2,FALSE))</f>
        <v/>
      </c>
      <c r="AK78" s="476"/>
      <c r="AL78" s="476"/>
      <c r="AM78" s="476"/>
      <c r="AN78" s="475"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7" t="str">
        <f t="shared" si="23"/>
        <v/>
      </c>
      <c r="AY78" s="480" t="str">
        <v>1</v>
      </c>
      <c r="AZ78" s="477"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3" t="str">
        <f t="shared" si="51"/>
        <v/>
      </c>
      <c r="BW78" s="95" t="s">
        <v>178</v>
      </c>
      <c r="BX78" s="95">
        <f>BN64</f>
        <v>0</v>
      </c>
    </row>
    <row r="79" spans="1:76" s="25" customFormat="1" ht="15.75">
      <c r="B79" s="263"/>
      <c r="C79" s="119" t="str">
        <f t="shared" si="13"/>
        <v/>
      </c>
      <c r="D79" s="207" t="str">
        <f t="shared" si="44"/>
        <v/>
      </c>
      <c r="E79" s="165" t="str">
        <f t="shared" si="14"/>
        <v/>
      </c>
      <c r="F79" s="673"/>
      <c r="G79" s="674"/>
      <c r="H79" s="162" t="str">
        <f t="shared" si="15"/>
        <v/>
      </c>
      <c r="I79" s="315" t="str">
        <f t="shared" si="45"/>
        <v/>
      </c>
      <c r="J79" s="956"/>
      <c r="K79" s="957"/>
      <c r="L79" s="292" t="str">
        <f t="shared" si="46"/>
        <v/>
      </c>
      <c r="M79" s="950" t="str">
        <f t="shared" si="47"/>
        <v/>
      </c>
      <c r="N79" s="951"/>
      <c r="O79" s="74"/>
      <c r="P79" s="12"/>
      <c r="R79" s="655"/>
      <c r="T79" s="176" t="str">
        <f t="shared" si="16"/>
        <v/>
      </c>
      <c r="U79" s="114" t="str">
        <f t="shared" si="48"/>
        <v/>
      </c>
      <c r="V79" s="115" t="str">
        <f t="shared" si="17"/>
        <v/>
      </c>
      <c r="W79" s="113" t="str">
        <f t="shared" si="17"/>
        <v/>
      </c>
      <c r="X79" s="93" t="str">
        <f t="shared" si="17"/>
        <v/>
      </c>
      <c r="Y79" s="341"/>
      <c r="Z79" s="341"/>
      <c r="AA79" s="341"/>
      <c r="AB79" s="94" t="str">
        <f t="shared" si="18"/>
        <v/>
      </c>
      <c r="AC79" s="117" t="str">
        <f t="shared" si="19"/>
        <v/>
      </c>
      <c r="AD79" s="115" t="str">
        <f t="shared" si="49"/>
        <v/>
      </c>
      <c r="AE79" s="178" t="str">
        <f t="shared" si="50"/>
        <v/>
      </c>
      <c r="AF79" s="113" t="str">
        <f t="shared" si="20"/>
        <v/>
      </c>
      <c r="AG79" s="114" t="str">
        <f>IF(D79="","",VLOOKUP(F79,'9. All Habitats + Multipliers'!$C$4:$K$102,5,FALSE))</f>
        <v/>
      </c>
      <c r="AH79" s="115" t="str">
        <f>IF(AG79="","",VLOOKUP(AG79,'11. Lists'!$B$47:$D$49,2,FALSE))</f>
        <v/>
      </c>
      <c r="AI79" s="114" t="str">
        <f t="shared" si="21"/>
        <v/>
      </c>
      <c r="AJ79" s="475" t="str">
        <f>IF(AI79="","",VLOOKUP(AI79,'11. Lists'!$F$47:$G$51,2,FALSE))</f>
        <v/>
      </c>
      <c r="AK79" s="476"/>
      <c r="AL79" s="476"/>
      <c r="AM79" s="476"/>
      <c r="AN79" s="475"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7" t="str">
        <f t="shared" si="23"/>
        <v/>
      </c>
      <c r="AY79" s="480" t="str">
        <v>1</v>
      </c>
      <c r="AZ79" s="477"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3" t="str">
        <f t="shared" si="51"/>
        <v/>
      </c>
      <c r="BW79" s="95" t="s">
        <v>179</v>
      </c>
      <c r="BX79" s="95">
        <f>BO64</f>
        <v>0</v>
      </c>
    </row>
    <row r="80" spans="1:76" s="25" customFormat="1" ht="15.75" customHeight="1">
      <c r="B80" s="263"/>
      <c r="C80" s="119" t="str">
        <f t="shared" si="13"/>
        <v/>
      </c>
      <c r="D80" s="207" t="str">
        <f t="shared" si="44"/>
        <v/>
      </c>
      <c r="E80" s="165" t="str">
        <f t="shared" si="14"/>
        <v/>
      </c>
      <c r="F80" s="673"/>
      <c r="G80" s="674"/>
      <c r="H80" s="162" t="str">
        <f t="shared" si="15"/>
        <v/>
      </c>
      <c r="I80" s="315" t="str">
        <f t="shared" si="45"/>
        <v/>
      </c>
      <c r="J80" s="956"/>
      <c r="K80" s="957"/>
      <c r="L80" s="292" t="str">
        <f t="shared" si="46"/>
        <v/>
      </c>
      <c r="M80" s="950" t="str">
        <f t="shared" si="47"/>
        <v/>
      </c>
      <c r="N80" s="951"/>
      <c r="O80" s="74"/>
      <c r="P80" s="12"/>
      <c r="R80" s="655"/>
      <c r="T80" s="176" t="str">
        <f t="shared" si="16"/>
        <v/>
      </c>
      <c r="U80" s="114" t="str">
        <f t="shared" si="48"/>
        <v/>
      </c>
      <c r="V80" s="115" t="str">
        <f t="shared" si="17"/>
        <v/>
      </c>
      <c r="W80" s="113" t="str">
        <f t="shared" si="17"/>
        <v/>
      </c>
      <c r="X80" s="93" t="str">
        <f t="shared" si="17"/>
        <v/>
      </c>
      <c r="Y80" s="341"/>
      <c r="Z80" s="341"/>
      <c r="AA80" s="341"/>
      <c r="AB80" s="94" t="str">
        <f t="shared" si="18"/>
        <v/>
      </c>
      <c r="AC80" s="117" t="str">
        <f t="shared" si="19"/>
        <v/>
      </c>
      <c r="AD80" s="115" t="str">
        <f t="shared" si="49"/>
        <v/>
      </c>
      <c r="AE80" s="178" t="str">
        <f t="shared" si="50"/>
        <v/>
      </c>
      <c r="AF80" s="113" t="str">
        <f t="shared" si="20"/>
        <v/>
      </c>
      <c r="AG80" s="114" t="str">
        <f>IF(D80="","",VLOOKUP(F80,'9. All Habitats + Multipliers'!$C$4:$K$102,5,FALSE))</f>
        <v/>
      </c>
      <c r="AH80" s="115" t="str">
        <f>IF(AG80="","",VLOOKUP(AG80,'11. Lists'!$B$47:$D$49,2,FALSE))</f>
        <v/>
      </c>
      <c r="AI80" s="114" t="str">
        <f t="shared" si="21"/>
        <v/>
      </c>
      <c r="AJ80" s="475" t="str">
        <f>IF(AI80="","",VLOOKUP(AI80,'11. Lists'!$F$47:$G$51,2,FALSE))</f>
        <v/>
      </c>
      <c r="AK80" s="476"/>
      <c r="AL80" s="476"/>
      <c r="AM80" s="476"/>
      <c r="AN80" s="475"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7" t="str">
        <f t="shared" si="23"/>
        <v/>
      </c>
      <c r="AY80" s="480" t="str">
        <v>1</v>
      </c>
      <c r="AZ80" s="477"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3" t="str">
        <f t="shared" si="51"/>
        <v/>
      </c>
      <c r="BW80" s="95" t="s">
        <v>180</v>
      </c>
      <c r="BX80" s="95">
        <f>BP64</f>
        <v>0</v>
      </c>
    </row>
    <row r="81" spans="1:76" s="25" customFormat="1" ht="15.75" customHeight="1">
      <c r="B81" s="263"/>
      <c r="C81" s="119" t="str">
        <f t="shared" si="13"/>
        <v/>
      </c>
      <c r="D81" s="207" t="str">
        <f t="shared" si="44"/>
        <v/>
      </c>
      <c r="E81" s="165" t="str">
        <f t="shared" si="14"/>
        <v/>
      </c>
      <c r="F81" s="673"/>
      <c r="G81" s="674"/>
      <c r="H81" s="162" t="str">
        <f t="shared" si="15"/>
        <v/>
      </c>
      <c r="I81" s="315" t="str">
        <f t="shared" si="45"/>
        <v/>
      </c>
      <c r="J81" s="956"/>
      <c r="K81" s="957"/>
      <c r="L81" s="292" t="str">
        <f t="shared" si="46"/>
        <v/>
      </c>
      <c r="M81" s="950" t="str">
        <f t="shared" si="47"/>
        <v/>
      </c>
      <c r="N81" s="951"/>
      <c r="O81" s="74"/>
      <c r="P81" s="12"/>
      <c r="R81" s="655"/>
      <c r="T81" s="176" t="str">
        <f t="shared" si="16"/>
        <v/>
      </c>
      <c r="U81" s="114" t="str">
        <f t="shared" si="48"/>
        <v/>
      </c>
      <c r="V81" s="115" t="str">
        <f t="shared" si="17"/>
        <v/>
      </c>
      <c r="W81" s="113" t="str">
        <f t="shared" si="17"/>
        <v/>
      </c>
      <c r="X81" s="93" t="str">
        <f t="shared" si="17"/>
        <v/>
      </c>
      <c r="Y81" s="341"/>
      <c r="Z81" s="341"/>
      <c r="AA81" s="341"/>
      <c r="AB81" s="94" t="str">
        <f t="shared" si="18"/>
        <v/>
      </c>
      <c r="AC81" s="117" t="str">
        <f t="shared" si="19"/>
        <v/>
      </c>
      <c r="AD81" s="115" t="str">
        <f t="shared" si="49"/>
        <v/>
      </c>
      <c r="AE81" s="178" t="str">
        <f t="shared" si="50"/>
        <v/>
      </c>
      <c r="AF81" s="113" t="str">
        <f t="shared" si="20"/>
        <v/>
      </c>
      <c r="AG81" s="114" t="str">
        <f>IF(D81="","",VLOOKUP(F81,'9. All Habitats + Multipliers'!$C$4:$K$102,5,FALSE))</f>
        <v/>
      </c>
      <c r="AH81" s="115" t="str">
        <f>IF(AG81="","",VLOOKUP(AG81,'11. Lists'!$B$47:$D$49,2,FALSE))</f>
        <v/>
      </c>
      <c r="AI81" s="114" t="str">
        <f t="shared" si="21"/>
        <v/>
      </c>
      <c r="AJ81" s="475" t="str">
        <f>IF(AI81="","",VLOOKUP(AI81,'11. Lists'!$F$47:$G$51,2,FALSE))</f>
        <v/>
      </c>
      <c r="AK81" s="476"/>
      <c r="AL81" s="476"/>
      <c r="AM81" s="476"/>
      <c r="AN81" s="475"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7" t="str">
        <f t="shared" si="23"/>
        <v/>
      </c>
      <c r="AY81" s="480" t="str">
        <v>1</v>
      </c>
      <c r="AZ81" s="477"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3" t="str">
        <f t="shared" si="51"/>
        <v/>
      </c>
      <c r="BW81" s="95" t="s">
        <v>181</v>
      </c>
      <c r="BX81" s="95">
        <f>BQ64</f>
        <v>0</v>
      </c>
    </row>
    <row r="82" spans="1:76" s="25" customFormat="1" ht="15.75">
      <c r="B82" s="263"/>
      <c r="C82" s="119" t="str">
        <f t="shared" si="13"/>
        <v/>
      </c>
      <c r="D82" s="207" t="str">
        <f t="shared" si="44"/>
        <v/>
      </c>
      <c r="E82" s="165" t="str">
        <f t="shared" si="14"/>
        <v/>
      </c>
      <c r="F82" s="673"/>
      <c r="G82" s="674"/>
      <c r="H82" s="162" t="str">
        <f t="shared" si="15"/>
        <v/>
      </c>
      <c r="I82" s="315" t="str">
        <f t="shared" si="45"/>
        <v/>
      </c>
      <c r="J82" s="956"/>
      <c r="K82" s="957"/>
      <c r="L82" s="292" t="str">
        <f t="shared" si="46"/>
        <v/>
      </c>
      <c r="M82" s="950" t="str">
        <f t="shared" si="47"/>
        <v/>
      </c>
      <c r="N82" s="951"/>
      <c r="O82" s="74"/>
      <c r="P82" s="12"/>
      <c r="R82" s="655"/>
      <c r="T82" s="176" t="str">
        <f t="shared" si="16"/>
        <v/>
      </c>
      <c r="U82" s="114" t="str">
        <f t="shared" si="48"/>
        <v/>
      </c>
      <c r="V82" s="115" t="str">
        <f t="shared" si="17"/>
        <v/>
      </c>
      <c r="W82" s="113" t="str">
        <f t="shared" si="17"/>
        <v/>
      </c>
      <c r="X82" s="93" t="str">
        <f t="shared" si="17"/>
        <v/>
      </c>
      <c r="Y82" s="341"/>
      <c r="Z82" s="341"/>
      <c r="AA82" s="341"/>
      <c r="AB82" s="94" t="str">
        <f t="shared" si="18"/>
        <v/>
      </c>
      <c r="AC82" s="117" t="str">
        <f t="shared" si="19"/>
        <v/>
      </c>
      <c r="AD82" s="115" t="str">
        <f t="shared" si="49"/>
        <v/>
      </c>
      <c r="AE82" s="178" t="str">
        <f t="shared" si="50"/>
        <v/>
      </c>
      <c r="AF82" s="113" t="str">
        <f t="shared" si="20"/>
        <v/>
      </c>
      <c r="AG82" s="114" t="str">
        <f>IF(D82="","",VLOOKUP(F82,'9. All Habitats + Multipliers'!$C$4:$K$102,5,FALSE))</f>
        <v/>
      </c>
      <c r="AH82" s="115" t="str">
        <f>IF(AG82="","",VLOOKUP(AG82,'11. Lists'!$B$47:$D$49,2,FALSE))</f>
        <v/>
      </c>
      <c r="AI82" s="114" t="str">
        <f t="shared" si="21"/>
        <v/>
      </c>
      <c r="AJ82" s="475" t="str">
        <f>IF(AI82="","",VLOOKUP(AI82,'11. Lists'!$F$47:$G$51,2,FALSE))</f>
        <v/>
      </c>
      <c r="AK82" s="476"/>
      <c r="AL82" s="476"/>
      <c r="AM82" s="476"/>
      <c r="AN82" s="475"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7" t="str">
        <f t="shared" si="23"/>
        <v/>
      </c>
      <c r="AY82" s="480" t="str">
        <v>1</v>
      </c>
      <c r="AZ82" s="477"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3" t="str">
        <f t="shared" si="51"/>
        <v/>
      </c>
      <c r="BW82" s="95" t="s">
        <v>182</v>
      </c>
      <c r="BX82" s="95">
        <f>BR64</f>
        <v>0</v>
      </c>
    </row>
    <row r="83" spans="1:76" s="25" customFormat="1" ht="15.75" customHeight="1">
      <c r="B83" s="263"/>
      <c r="C83" s="119" t="str">
        <f t="shared" si="13"/>
        <v/>
      </c>
      <c r="D83" s="207" t="str">
        <f t="shared" si="44"/>
        <v/>
      </c>
      <c r="E83" s="165" t="str">
        <f t="shared" si="14"/>
        <v/>
      </c>
      <c r="F83" s="673"/>
      <c r="G83" s="674"/>
      <c r="H83" s="162" t="str">
        <f t="shared" si="15"/>
        <v/>
      </c>
      <c r="I83" s="315" t="str">
        <f t="shared" si="45"/>
        <v/>
      </c>
      <c r="J83" s="956"/>
      <c r="K83" s="957"/>
      <c r="L83" s="292" t="str">
        <f t="shared" si="46"/>
        <v/>
      </c>
      <c r="M83" s="950" t="str">
        <f t="shared" si="47"/>
        <v/>
      </c>
      <c r="N83" s="951"/>
      <c r="O83" s="74"/>
      <c r="P83" s="12"/>
      <c r="R83" s="655"/>
      <c r="T83" s="176" t="str">
        <f t="shared" si="16"/>
        <v/>
      </c>
      <c r="U83" s="114" t="str">
        <f t="shared" si="48"/>
        <v/>
      </c>
      <c r="V83" s="115" t="str">
        <f t="shared" si="17"/>
        <v/>
      </c>
      <c r="W83" s="113" t="str">
        <f t="shared" si="17"/>
        <v/>
      </c>
      <c r="X83" s="93" t="str">
        <f t="shared" si="17"/>
        <v/>
      </c>
      <c r="Y83" s="341"/>
      <c r="Z83" s="341"/>
      <c r="AA83" s="341"/>
      <c r="AB83" s="94" t="str">
        <f t="shared" si="18"/>
        <v/>
      </c>
      <c r="AC83" s="117" t="str">
        <f t="shared" si="19"/>
        <v/>
      </c>
      <c r="AD83" s="115" t="str">
        <f t="shared" si="49"/>
        <v/>
      </c>
      <c r="AE83" s="178" t="str">
        <f t="shared" si="50"/>
        <v/>
      </c>
      <c r="AF83" s="113" t="str">
        <f t="shared" si="20"/>
        <v/>
      </c>
      <c r="AG83" s="114" t="str">
        <f>IF(D83="","",VLOOKUP(F83,'9. All Habitats + Multipliers'!$C$4:$K$102,5,FALSE))</f>
        <v/>
      </c>
      <c r="AH83" s="115" t="str">
        <f>IF(AG83="","",VLOOKUP(AG83,'11. Lists'!$B$47:$D$49,2,FALSE))</f>
        <v/>
      </c>
      <c r="AI83" s="114" t="str">
        <f t="shared" si="21"/>
        <v/>
      </c>
      <c r="AJ83" s="475" t="str">
        <f>IF(AI83="","",VLOOKUP(AI83,'11. Lists'!$F$47:$G$51,2,FALSE))</f>
        <v/>
      </c>
      <c r="AK83" s="476"/>
      <c r="AL83" s="476"/>
      <c r="AM83" s="476"/>
      <c r="AN83" s="475"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7" t="str">
        <f t="shared" si="23"/>
        <v/>
      </c>
      <c r="AY83" s="480" t="str">
        <v>1</v>
      </c>
      <c r="AZ83" s="477"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3" t="str">
        <f t="shared" si="51"/>
        <v/>
      </c>
      <c r="BW83" s="95" t="s">
        <v>183</v>
      </c>
      <c r="BX83" s="95">
        <f>BS64</f>
        <v>0</v>
      </c>
    </row>
    <row r="84" spans="1:76" s="25" customFormat="1" ht="15.75" customHeight="1">
      <c r="B84" s="263"/>
      <c r="C84" s="119" t="str">
        <f t="shared" si="13"/>
        <v/>
      </c>
      <c r="D84" s="207" t="str">
        <f t="shared" si="44"/>
        <v/>
      </c>
      <c r="E84" s="165" t="str">
        <f t="shared" si="14"/>
        <v/>
      </c>
      <c r="F84" s="673"/>
      <c r="G84" s="674"/>
      <c r="H84" s="162" t="str">
        <f t="shared" si="15"/>
        <v/>
      </c>
      <c r="I84" s="315" t="str">
        <f t="shared" si="45"/>
        <v/>
      </c>
      <c r="J84" s="956"/>
      <c r="K84" s="957"/>
      <c r="L84" s="292" t="str">
        <f t="shared" si="46"/>
        <v/>
      </c>
      <c r="M84" s="950" t="str">
        <f t="shared" si="47"/>
        <v/>
      </c>
      <c r="N84" s="951"/>
      <c r="O84" s="74"/>
      <c r="P84" s="12"/>
      <c r="R84" s="655"/>
      <c r="T84" s="176" t="str">
        <f t="shared" si="16"/>
        <v/>
      </c>
      <c r="U84" s="114" t="str">
        <f t="shared" si="48"/>
        <v/>
      </c>
      <c r="V84" s="115" t="str">
        <f t="shared" si="17"/>
        <v/>
      </c>
      <c r="W84" s="113" t="str">
        <f t="shared" si="17"/>
        <v/>
      </c>
      <c r="X84" s="93" t="str">
        <f t="shared" si="17"/>
        <v/>
      </c>
      <c r="Y84" s="341"/>
      <c r="Z84" s="341"/>
      <c r="AA84" s="341"/>
      <c r="AB84" s="94" t="str">
        <f t="shared" si="18"/>
        <v/>
      </c>
      <c r="AC84" s="117" t="str">
        <f t="shared" si="19"/>
        <v/>
      </c>
      <c r="AD84" s="115" t="str">
        <f t="shared" si="49"/>
        <v/>
      </c>
      <c r="AE84" s="178" t="str">
        <f t="shared" si="50"/>
        <v/>
      </c>
      <c r="AF84" s="113" t="str">
        <f t="shared" si="20"/>
        <v/>
      </c>
      <c r="AG84" s="114" t="str">
        <f>IF(D84="","",VLOOKUP(F84,'9. All Habitats + Multipliers'!$C$4:$K$102,5,FALSE))</f>
        <v/>
      </c>
      <c r="AH84" s="115" t="str">
        <f>IF(AG84="","",VLOOKUP(AG84,'11. Lists'!$B$47:$D$49,2,FALSE))</f>
        <v/>
      </c>
      <c r="AI84" s="114" t="str">
        <f t="shared" si="21"/>
        <v/>
      </c>
      <c r="AJ84" s="475" t="str">
        <f>IF(AI84="","",VLOOKUP(AI84,'11. Lists'!$F$47:$G$51,2,FALSE))</f>
        <v/>
      </c>
      <c r="AK84" s="476"/>
      <c r="AL84" s="476"/>
      <c r="AM84" s="476"/>
      <c r="AN84" s="475"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7" t="str">
        <f t="shared" si="23"/>
        <v/>
      </c>
      <c r="AY84" s="480" t="str">
        <v>1</v>
      </c>
      <c r="AZ84" s="477"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3" t="str">
        <f t="shared" si="51"/>
        <v/>
      </c>
      <c r="BW84" s="95" t="s">
        <v>184</v>
      </c>
      <c r="BX84" s="95">
        <f>BT64</f>
        <v>0</v>
      </c>
    </row>
    <row r="85" spans="1:76" s="25" customFormat="1" ht="15.75">
      <c r="B85" s="264"/>
      <c r="C85" s="138" t="str">
        <f t="shared" si="13"/>
        <v/>
      </c>
      <c r="D85" s="418" t="str">
        <f t="shared" si="44"/>
        <v/>
      </c>
      <c r="E85" s="166" t="str">
        <f t="shared" si="14"/>
        <v/>
      </c>
      <c r="F85" s="677"/>
      <c r="G85" s="678"/>
      <c r="H85" s="163" t="str">
        <f t="shared" si="15"/>
        <v/>
      </c>
      <c r="I85" s="422" t="str">
        <f t="shared" si="45"/>
        <v/>
      </c>
      <c r="J85" s="958"/>
      <c r="K85" s="959"/>
      <c r="L85" s="290" t="str">
        <f t="shared" si="46"/>
        <v/>
      </c>
      <c r="M85" s="947" t="str">
        <f t="shared" si="47"/>
        <v/>
      </c>
      <c r="N85" s="948"/>
      <c r="O85" s="75"/>
      <c r="P85" s="14"/>
      <c r="R85" s="655"/>
      <c r="T85" s="176" t="str">
        <f t="shared" si="16"/>
        <v/>
      </c>
      <c r="U85" s="114" t="str">
        <f t="shared" si="48"/>
        <v/>
      </c>
      <c r="V85" s="115" t="str">
        <f t="shared" si="17"/>
        <v/>
      </c>
      <c r="W85" s="113" t="str">
        <f t="shared" si="17"/>
        <v/>
      </c>
      <c r="X85" s="98" t="str">
        <f t="shared" si="17"/>
        <v/>
      </c>
      <c r="Y85" s="362"/>
      <c r="Z85" s="362"/>
      <c r="AA85" s="362"/>
      <c r="AB85" s="99" t="str">
        <f t="shared" si="18"/>
        <v/>
      </c>
      <c r="AC85" s="117" t="str">
        <f t="shared" si="19"/>
        <v/>
      </c>
      <c r="AD85" s="115" t="str">
        <f t="shared" si="49"/>
        <v/>
      </c>
      <c r="AE85" s="178" t="str">
        <f t="shared" si="50"/>
        <v/>
      </c>
      <c r="AF85" s="113" t="str">
        <f t="shared" si="20"/>
        <v/>
      </c>
      <c r="AG85" s="114" t="str">
        <f>IF(D85="","",VLOOKUP(F85,'9. All Habitats + Multipliers'!$C$4:$K$102,5,FALSE))</f>
        <v/>
      </c>
      <c r="AH85" s="115" t="str">
        <f>IF(AG85="","",VLOOKUP(AG85,'11. Lists'!$B$47:$D$49,2,FALSE))</f>
        <v/>
      </c>
      <c r="AI85" s="114" t="str">
        <f t="shared" si="21"/>
        <v/>
      </c>
      <c r="AJ85" s="475" t="str">
        <f>IF(AI85="","",VLOOKUP(AI85,'11. Lists'!$F$47:$G$51,2,FALSE))</f>
        <v/>
      </c>
      <c r="AK85" s="476"/>
      <c r="AL85" s="476"/>
      <c r="AM85" s="476"/>
      <c r="AN85" s="475"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7" t="str">
        <f t="shared" si="23"/>
        <v/>
      </c>
      <c r="AY85" s="481" t="str">
        <v>1</v>
      </c>
      <c r="AZ85" s="477"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3" t="str">
        <f t="shared" si="51"/>
        <v/>
      </c>
      <c r="BW85" s="95" t="s">
        <v>185</v>
      </c>
      <c r="BX85" s="95">
        <f>BU64</f>
        <v>0</v>
      </c>
    </row>
    <row r="86" spans="1:76" s="25" customFormat="1">
      <c r="B86"/>
      <c r="C86"/>
      <c r="D86"/>
      <c r="E86"/>
      <c r="F86"/>
      <c r="G86"/>
      <c r="H86" s="267"/>
      <c r="I86" s="320"/>
      <c r="J86" s="412"/>
      <c r="K86"/>
      <c r="L86" s="420"/>
      <c r="M86" s="699"/>
      <c r="N86" s="700"/>
      <c r="O86"/>
      <c r="R86" s="655"/>
      <c r="AJ86" s="157"/>
      <c r="AK86" s="157"/>
      <c r="AL86" s="157"/>
      <c r="AM86" s="157"/>
      <c r="AN86" s="157"/>
    </row>
    <row r="87" spans="1:76" s="25" customFormat="1">
      <c r="B87"/>
      <c r="C87" s="26"/>
      <c r="D87"/>
      <c r="E87"/>
      <c r="F87"/>
      <c r="G87"/>
      <c r="H87"/>
      <c r="I87"/>
      <c r="J87"/>
      <c r="K87"/>
      <c r="L87"/>
      <c r="M87"/>
      <c r="N87"/>
      <c r="O87"/>
      <c r="R87" s="655"/>
      <c r="AJ87" s="157"/>
      <c r="AK87" s="157"/>
      <c r="AL87" s="157"/>
      <c r="AM87" s="157"/>
      <c r="AN87" s="157"/>
    </row>
    <row r="88" spans="1:76" s="25" customFormat="1">
      <c r="B88"/>
      <c r="C88"/>
      <c r="D88"/>
      <c r="E88"/>
      <c r="F88"/>
      <c r="G88"/>
      <c r="H88"/>
      <c r="I88"/>
      <c r="J88"/>
      <c r="K88"/>
      <c r="L88"/>
      <c r="M88"/>
      <c r="N88"/>
      <c r="O88"/>
      <c r="R88" s="655"/>
      <c r="AJ88" s="157"/>
      <c r="AK88" s="157"/>
      <c r="AL88" s="157"/>
      <c r="AM88" s="157"/>
      <c r="AN88" s="157"/>
    </row>
    <row r="89" spans="1:76" s="25" customFormat="1" ht="19.149999999999999" customHeight="1">
      <c r="B89"/>
      <c r="C89"/>
      <c r="D89"/>
      <c r="E89"/>
      <c r="F89"/>
      <c r="G89"/>
      <c r="H89"/>
      <c r="I89"/>
      <c r="J89"/>
      <c r="K89"/>
      <c r="L89"/>
      <c r="M89"/>
      <c r="N89"/>
      <c r="O89"/>
      <c r="R89" s="655"/>
      <c r="AJ89" s="157"/>
      <c r="AK89" s="157"/>
      <c r="AL89" s="157"/>
      <c r="AM89" s="157"/>
      <c r="AN89" s="157"/>
    </row>
    <row r="90" spans="1:76" s="25" customFormat="1">
      <c r="B90"/>
      <c r="C90"/>
      <c r="D90"/>
      <c r="E90"/>
      <c r="F90"/>
      <c r="G90"/>
      <c r="H90"/>
      <c r="I90"/>
      <c r="J90"/>
      <c r="K90"/>
      <c r="L90"/>
      <c r="M90"/>
      <c r="N90"/>
      <c r="O90"/>
      <c r="R90" s="655"/>
      <c r="AJ90" s="157"/>
      <c r="AK90" s="157"/>
      <c r="AL90" s="157"/>
      <c r="AM90" s="157"/>
      <c r="AN90" s="157"/>
    </row>
    <row r="91" spans="1:76" s="25" customFormat="1">
      <c r="A91" s="655" t="s">
        <v>200</v>
      </c>
      <c r="B91" s="655"/>
      <c r="C91" s="655"/>
      <c r="D91" s="655"/>
      <c r="E91" s="655"/>
      <c r="F91" s="655"/>
      <c r="G91" s="655"/>
      <c r="H91" s="655"/>
      <c r="I91" s="655"/>
      <c r="J91" s="655"/>
      <c r="K91" s="655"/>
      <c r="L91" s="655"/>
      <c r="M91" s="655"/>
      <c r="N91" s="655"/>
      <c r="O91" s="655"/>
      <c r="P91" s="655"/>
      <c r="Q91" s="655"/>
      <c r="R91" s="655"/>
      <c r="AJ91" s="157"/>
      <c r="AK91" s="157"/>
      <c r="AL91" s="157"/>
      <c r="AM91" s="157"/>
      <c r="AN91" s="157"/>
    </row>
    <row r="92" spans="1:76" s="25" customFormat="1">
      <c r="A92" s="655"/>
      <c r="B92" s="655"/>
      <c r="C92" s="655"/>
      <c r="D92" s="655"/>
      <c r="E92" s="655"/>
      <c r="F92" s="655"/>
      <c r="G92" s="655"/>
      <c r="H92" s="655"/>
      <c r="I92" s="655"/>
      <c r="J92" s="655"/>
      <c r="K92" s="655"/>
      <c r="L92" s="655"/>
      <c r="M92" s="655"/>
      <c r="N92" s="655"/>
      <c r="O92" s="655"/>
      <c r="P92" s="655"/>
      <c r="Q92" s="655"/>
      <c r="R92" s="655"/>
      <c r="AJ92" s="157"/>
      <c r="AK92" s="157"/>
      <c r="AL92" s="157"/>
      <c r="AM92" s="157"/>
      <c r="AN92" s="157"/>
    </row>
    <row r="93" spans="1:76" s="25" customFormat="1">
      <c r="A93" s="655"/>
      <c r="B93" s="655"/>
      <c r="C93" s="655"/>
      <c r="D93" s="655"/>
      <c r="E93" s="655"/>
      <c r="F93" s="655"/>
      <c r="G93" s="655"/>
      <c r="H93" s="655"/>
      <c r="I93" s="655"/>
      <c r="J93" s="655"/>
      <c r="K93" s="655"/>
      <c r="L93" s="655"/>
      <c r="M93" s="655"/>
      <c r="N93" s="655"/>
      <c r="O93" s="655"/>
      <c r="P93" s="655"/>
      <c r="Q93" s="655"/>
      <c r="R93" s="655"/>
      <c r="AJ93" s="157"/>
      <c r="AK93" s="157"/>
      <c r="AL93" s="157"/>
      <c r="AM93" s="157"/>
      <c r="AN93" s="157"/>
    </row>
    <row r="94" spans="1:76" s="25" customFormat="1">
      <c r="R94" s="655"/>
      <c r="AJ94" s="157"/>
      <c r="AK94" s="157"/>
      <c r="AL94" s="157"/>
      <c r="AM94" s="157"/>
      <c r="AN94" s="157"/>
    </row>
    <row r="95" spans="1:76" s="25" customFormat="1" ht="21">
      <c r="C95" s="57" t="s">
        <v>201</v>
      </c>
      <c r="D95" s="26"/>
      <c r="E95" s="26"/>
      <c r="F95" s="26"/>
      <c r="G95" s="26"/>
      <c r="R95" s="655"/>
      <c r="AJ95" s="157"/>
      <c r="AK95" s="157"/>
      <c r="AL95" s="157"/>
      <c r="AM95" s="157"/>
      <c r="AN95" s="157"/>
    </row>
    <row r="96" spans="1:76" s="25" customFormat="1">
      <c r="R96" s="655"/>
      <c r="AJ96" s="157"/>
      <c r="AK96" s="157"/>
      <c r="AL96" s="157"/>
      <c r="AM96" s="157"/>
      <c r="AN96" s="157"/>
    </row>
    <row r="97" spans="3:40" s="25" customFormat="1" ht="36.6" customHeight="1">
      <c r="C97" s="872" t="s">
        <v>242</v>
      </c>
      <c r="D97" s="874"/>
      <c r="E97" s="875" t="str">
        <f t="array" aca="1" ref="E97" ca="1">IF(OR(I103:I106="No ▲"),"Error - Trading Rules Not Satisfied ▲","Trading Rules Satisfied ✓")</f>
        <v>Trading Rules Satisfied ✓</v>
      </c>
      <c r="F97" s="875"/>
      <c r="G97" s="875"/>
      <c r="H97" s="875"/>
      <c r="I97" s="876"/>
      <c r="J97" s="157">
        <f ca="1">IFERROR(FIND("Error",E97),0)</f>
        <v>0</v>
      </c>
      <c r="R97" s="655"/>
      <c r="AJ97" s="157"/>
      <c r="AK97" s="157"/>
      <c r="AL97" s="157"/>
      <c r="AM97" s="157"/>
      <c r="AN97" s="157"/>
    </row>
    <row r="98" spans="3:40" s="25" customFormat="1">
      <c r="R98" s="655"/>
      <c r="AJ98" s="157"/>
      <c r="AK98" s="157"/>
      <c r="AL98" s="157"/>
      <c r="AM98" s="157"/>
      <c r="AN98" s="157"/>
    </row>
    <row r="99" spans="3:40" s="25" customFormat="1" ht="21">
      <c r="C99" s="57" t="s">
        <v>204</v>
      </c>
      <c r="R99" s="655"/>
      <c r="AJ99" s="157"/>
      <c r="AK99" s="157"/>
      <c r="AL99" s="157"/>
      <c r="AM99" s="157"/>
      <c r="AN99" s="157"/>
    </row>
    <row r="100" spans="3:40" s="25" customFormat="1">
      <c r="R100" s="655"/>
      <c r="AJ100" s="157"/>
      <c r="AK100" s="157"/>
      <c r="AL100" s="157"/>
      <c r="AM100" s="157"/>
      <c r="AN100" s="157"/>
    </row>
    <row r="101" spans="3:40" s="25" customFormat="1">
      <c r="J101" s="428"/>
      <c r="R101" s="655"/>
      <c r="AJ101" s="157"/>
      <c r="AK101" s="157"/>
      <c r="AL101" s="157"/>
      <c r="AM101" s="157"/>
      <c r="AN101" s="157"/>
    </row>
    <row r="102" spans="3:40" s="25" customFormat="1" ht="40.5" customHeight="1">
      <c r="C102" s="448" t="s">
        <v>143</v>
      </c>
      <c r="D102" s="438" t="s">
        <v>95</v>
      </c>
      <c r="E102" s="438" t="s">
        <v>268</v>
      </c>
      <c r="F102" s="438" t="s">
        <v>207</v>
      </c>
      <c r="G102" s="438" t="s">
        <v>208</v>
      </c>
      <c r="H102" s="438" t="s">
        <v>209</v>
      </c>
      <c r="I102" s="439" t="s">
        <v>210</v>
      </c>
      <c r="J102" s="429"/>
      <c r="R102" s="655"/>
      <c r="AJ102" s="157"/>
      <c r="AK102" s="157"/>
      <c r="AL102" s="157"/>
      <c r="AM102" s="157"/>
      <c r="AN102" s="157"/>
    </row>
    <row r="103" spans="3:40" s="25" customFormat="1" ht="30" customHeight="1">
      <c r="C103" s="977" t="s">
        <v>262</v>
      </c>
      <c r="D103" s="925" t="s">
        <v>224</v>
      </c>
      <c r="E103" s="440" t="s">
        <v>269</v>
      </c>
      <c r="F103" s="441">
        <f ca="1">SUMIF($D$11:$E$30, $E$103, $L$11:$L$30)</f>
        <v>0</v>
      </c>
      <c r="G103" s="441">
        <f>IF($I$59+$I$86+$P$1=0,0,SUMIF($D$39:$D$58,$E$103,$L$39:$N$58)+SUMIF($F$66:$G$85,$E$103,$L$66:$L$85)+SUMIF($D$11:$E$30,$E$103,$AE$11:$AE$30))</f>
        <v>0</v>
      </c>
      <c r="H103" s="441">
        <f ca="1">$G$103-$F$103</f>
        <v>0</v>
      </c>
      <c r="I103" s="856" t="str">
        <f ca="1">IF(AND($H$103&gt;=0, H104&gt;=0),"Yes ✓", "No ▲")</f>
        <v>Yes ✓</v>
      </c>
      <c r="J103" s="429"/>
      <c r="R103" s="655"/>
      <c r="AJ103" s="157"/>
      <c r="AK103" s="157"/>
      <c r="AL103" s="157"/>
      <c r="AM103" s="157"/>
      <c r="AN103" s="157"/>
    </row>
    <row r="104" spans="3:40" s="25" customFormat="1" ht="30" customHeight="1">
      <c r="C104" s="978"/>
      <c r="D104" s="916"/>
      <c r="E104" s="426" t="s">
        <v>270</v>
      </c>
      <c r="F104" s="427">
        <f ca="1">SUMIF($D$11:$E$30,$E$104,$L$11:$L$30)</f>
        <v>0</v>
      </c>
      <c r="G104" s="427">
        <f>IF($I$59+$I$86+$P$1=0,0,SUMIF($D$39:$D$58,$E$104,$L$39:$N$58)+SUMIF($F$66:$G$85,$E$104,$L$66:$L$85)+SUMIF($D$11:$E$30,$E$104,$AE$11:$AE$30))</f>
        <v>0</v>
      </c>
      <c r="H104" s="427">
        <f ca="1">$G$104-$F$104</f>
        <v>0</v>
      </c>
      <c r="I104" s="857"/>
      <c r="J104" s="429"/>
      <c r="R104" s="655"/>
      <c r="AJ104" s="157"/>
      <c r="AK104" s="157"/>
      <c r="AL104" s="157"/>
      <c r="AM104" s="157"/>
      <c r="AN104" s="157"/>
    </row>
    <row r="105" spans="3:40" s="25" customFormat="1" ht="30" customHeight="1">
      <c r="C105" s="978"/>
      <c r="D105" s="918"/>
      <c r="E105" s="442" t="s">
        <v>248</v>
      </c>
      <c r="F105" s="443">
        <f ca="1">SUM(F103:F104)</f>
        <v>0</v>
      </c>
      <c r="G105" s="443">
        <f>SUM(G103:G104)</f>
        <v>0</v>
      </c>
      <c r="H105" s="443">
        <f ca="1">SUM($H$103:$H$104)</f>
        <v>0</v>
      </c>
      <c r="I105" s="858"/>
      <c r="J105" s="157">
        <f ca="1">IF($I$103= "No ▲",1,0)</f>
        <v>0</v>
      </c>
      <c r="R105" s="655"/>
      <c r="AJ105" s="157"/>
      <c r="AK105" s="157"/>
      <c r="AL105" s="157"/>
      <c r="AM105" s="157"/>
      <c r="AN105" s="157"/>
    </row>
    <row r="106" spans="3:40" s="25" customFormat="1" ht="30" customHeight="1">
      <c r="C106" s="979"/>
      <c r="D106" s="444" t="s">
        <v>225</v>
      </c>
      <c r="E106" s="445" t="s">
        <v>271</v>
      </c>
      <c r="F106" s="446">
        <f ca="1">SUMIF($D$11:$E$30,$E$106,$L$11:$L$30)</f>
        <v>0</v>
      </c>
      <c r="G106" s="446">
        <f>IF($I$59+$I$86+$P$1=0,0,SUMIF($D$39:$D$58,$E$106,$L$39:$N$58)+SUMIF($F$66:$G$85,$E$106,$L$66:$L$85)+SUMIF($D$11:$E$30,$E$106,$AE$11:$AE$30))</f>
        <v>0</v>
      </c>
      <c r="H106" s="446">
        <f ca="1">$G$106-$F$106</f>
        <v>0</v>
      </c>
      <c r="I106" s="447" t="str">
        <f ca="1">IF($G$107&gt;=0,"Yes ✓", "No ▲")</f>
        <v>Yes ✓</v>
      </c>
      <c r="J106" s="157">
        <f ca="1">IF($I$106= "No ▲",1,0)</f>
        <v>0</v>
      </c>
      <c r="R106" s="655"/>
      <c r="AJ106" s="157"/>
      <c r="AK106" s="157"/>
      <c r="AL106" s="157"/>
      <c r="AM106" s="157"/>
      <c r="AN106" s="157"/>
    </row>
    <row r="107" spans="3:40" s="25" customFormat="1" ht="12" customHeight="1">
      <c r="G107" s="432">
        <f ca="1">IF(H105&gt;0,($H$105+$H$106),H106)</f>
        <v>0</v>
      </c>
      <c r="J107" s="428"/>
      <c r="R107" s="655"/>
      <c r="AJ107" s="157"/>
      <c r="AK107" s="157"/>
      <c r="AL107" s="157"/>
      <c r="AM107" s="157"/>
      <c r="AN107" s="157"/>
    </row>
    <row r="108" spans="3:40" s="25" customFormat="1" ht="18.75">
      <c r="C108" s="828" t="s">
        <v>272</v>
      </c>
      <c r="D108" s="976"/>
      <c r="E108" s="976"/>
      <c r="F108" s="976"/>
      <c r="G108" s="435">
        <f ca="1">$H$105</f>
        <v>0</v>
      </c>
      <c r="H108" s="429"/>
      <c r="J108" s="428"/>
      <c r="R108" s="655"/>
      <c r="AJ108" s="157"/>
      <c r="AK108" s="157"/>
      <c r="AL108" s="157"/>
      <c r="AM108" s="157"/>
      <c r="AN108" s="157"/>
    </row>
    <row r="109" spans="3:40" s="25" customFormat="1" ht="18.75">
      <c r="C109" s="918" t="s">
        <v>273</v>
      </c>
      <c r="D109" s="637"/>
      <c r="E109" s="637"/>
      <c r="F109" s="637"/>
      <c r="G109" s="436">
        <f ca="1">IF($H$105&lt;=0,$H$106,($H$106+$H$105))</f>
        <v>0</v>
      </c>
      <c r="R109" s="655"/>
      <c r="AJ109" s="157"/>
      <c r="AK109" s="157"/>
      <c r="AL109" s="157"/>
      <c r="AM109" s="157"/>
      <c r="AN109" s="157"/>
    </row>
    <row r="110" spans="3:40" s="25" customFormat="1">
      <c r="R110" s="655"/>
      <c r="AJ110" s="157"/>
      <c r="AK110" s="157"/>
      <c r="AL110" s="157"/>
      <c r="AM110" s="157"/>
      <c r="AN110" s="157"/>
    </row>
    <row r="111" spans="3:40" s="25" customFormat="1">
      <c r="R111" s="655"/>
      <c r="AJ111" s="157"/>
      <c r="AK111" s="157"/>
      <c r="AL111" s="157"/>
      <c r="AM111" s="157"/>
      <c r="AN111" s="157"/>
    </row>
    <row r="112" spans="3:40" s="25" customFormat="1">
      <c r="R112" s="655"/>
      <c r="AJ112" s="157"/>
      <c r="AK112" s="157"/>
      <c r="AL112" s="157"/>
      <c r="AM112" s="157"/>
      <c r="AN112" s="157"/>
    </row>
    <row r="113" spans="18:40" s="25" customFormat="1">
      <c r="R113" s="655"/>
      <c r="AJ113" s="157"/>
      <c r="AK113" s="157"/>
      <c r="AL113" s="157"/>
      <c r="AM113" s="157"/>
      <c r="AN113" s="157"/>
    </row>
    <row r="114" spans="18:40" s="25" customFormat="1">
      <c r="R114" s="655"/>
      <c r="AJ114" s="157"/>
      <c r="AK114" s="157"/>
      <c r="AL114" s="157"/>
      <c r="AM114" s="157"/>
      <c r="AN114" s="157"/>
    </row>
    <row r="115" spans="18:40" s="25" customFormat="1">
      <c r="R115" s="655"/>
      <c r="AJ115" s="157"/>
      <c r="AK115" s="157"/>
      <c r="AL115" s="157"/>
      <c r="AM115" s="157"/>
      <c r="AN115" s="157"/>
    </row>
    <row r="116" spans="18:40" s="25" customFormat="1">
      <c r="R116" s="655"/>
      <c r="AJ116" s="157"/>
      <c r="AK116" s="157"/>
      <c r="AL116" s="157"/>
      <c r="AM116" s="157"/>
      <c r="AN116" s="157"/>
    </row>
    <row r="117" spans="18:40" s="25" customFormat="1">
      <c r="R117" s="655"/>
      <c r="AJ117" s="157"/>
      <c r="AK117" s="157"/>
      <c r="AL117" s="157"/>
      <c r="AM117" s="157"/>
      <c r="AN117" s="157"/>
    </row>
    <row r="118" spans="18:40" s="25" customFormat="1">
      <c r="R118" s="655"/>
      <c r="AJ118" s="157"/>
      <c r="AK118" s="157"/>
      <c r="AL118" s="157"/>
      <c r="AM118" s="157"/>
      <c r="AN118" s="157"/>
    </row>
    <row r="119" spans="18:40" s="25" customFormat="1">
      <c r="R119" s="655"/>
      <c r="AJ119" s="157"/>
      <c r="AK119" s="157"/>
      <c r="AL119" s="157"/>
      <c r="AM119" s="157"/>
      <c r="AN119" s="157"/>
    </row>
    <row r="120" spans="18:40" s="25" customFormat="1">
      <c r="R120" s="655"/>
      <c r="AJ120" s="157"/>
      <c r="AK120" s="157"/>
      <c r="AL120" s="157"/>
      <c r="AM120" s="157"/>
      <c r="AN120" s="157"/>
    </row>
    <row r="121" spans="18:40" s="25" customFormat="1">
      <c r="R121" s="655"/>
      <c r="AJ121" s="157"/>
      <c r="AK121" s="157"/>
      <c r="AL121" s="157"/>
      <c r="AM121" s="157"/>
      <c r="AN121" s="157"/>
    </row>
    <row r="122" spans="18:40" s="25" customFormat="1">
      <c r="R122" s="655"/>
      <c r="AJ122" s="157"/>
      <c r="AK122" s="157"/>
      <c r="AL122" s="157"/>
      <c r="AM122" s="157"/>
      <c r="AN122" s="157"/>
    </row>
    <row r="123" spans="18:40" s="25" customFormat="1">
      <c r="R123" s="655"/>
      <c r="AJ123" s="157"/>
      <c r="AK123" s="157"/>
      <c r="AL123" s="157"/>
      <c r="AM123" s="157"/>
      <c r="AN123" s="157"/>
    </row>
    <row r="124" spans="18:40" s="25" customFormat="1">
      <c r="R124" s="655"/>
      <c r="AJ124" s="157"/>
      <c r="AK124" s="157"/>
      <c r="AL124" s="157"/>
      <c r="AM124" s="157"/>
      <c r="AN124" s="157"/>
    </row>
    <row r="125" spans="18:40" s="25" customFormat="1">
      <c r="R125" s="655"/>
      <c r="AJ125" s="157"/>
      <c r="AK125" s="157"/>
      <c r="AL125" s="157"/>
      <c r="AM125" s="157"/>
      <c r="AN125" s="157"/>
    </row>
    <row r="126" spans="18:40" s="25" customFormat="1">
      <c r="R126" s="655"/>
      <c r="AJ126" s="157"/>
      <c r="AK126" s="157"/>
      <c r="AL126" s="157"/>
      <c r="AM126" s="157"/>
      <c r="AN126" s="157"/>
    </row>
    <row r="127" spans="18:40" s="25" customFormat="1">
      <c r="R127" s="655"/>
      <c r="AJ127" s="157"/>
      <c r="AK127" s="157"/>
      <c r="AL127" s="157"/>
      <c r="AM127" s="157"/>
      <c r="AN127" s="157"/>
    </row>
    <row r="128" spans="18:40" s="25" customFormat="1">
      <c r="R128" s="655"/>
      <c r="AJ128" s="157"/>
      <c r="AK128" s="157"/>
      <c r="AL128" s="157"/>
      <c r="AM128" s="157"/>
      <c r="AN128" s="157"/>
    </row>
    <row r="129" spans="18:40" s="25" customFormat="1">
      <c r="R129" s="655"/>
      <c r="AJ129" s="157"/>
      <c r="AK129" s="157"/>
      <c r="AL129" s="157"/>
      <c r="AM129" s="157"/>
      <c r="AN129" s="157"/>
    </row>
    <row r="130" spans="18:40" s="25" customFormat="1">
      <c r="R130" s="655"/>
      <c r="AJ130" s="157"/>
      <c r="AK130" s="157"/>
      <c r="AL130" s="157"/>
      <c r="AM130" s="157"/>
      <c r="AN130" s="157"/>
    </row>
  </sheetData>
  <mergeCells count="272">
    <mergeCell ref="C109:F109"/>
    <mergeCell ref="C97:D97"/>
    <mergeCell ref="C108:F108"/>
    <mergeCell ref="C103:C106"/>
    <mergeCell ref="B9:B10"/>
    <mergeCell ref="C9:E9"/>
    <mergeCell ref="F9:H10"/>
    <mergeCell ref="D13:E13"/>
    <mergeCell ref="F13:H13"/>
    <mergeCell ref="D14:E14"/>
    <mergeCell ref="F14:H14"/>
    <mergeCell ref="D15:E15"/>
    <mergeCell ref="F15:H15"/>
    <mergeCell ref="F16:H16"/>
    <mergeCell ref="D17:E17"/>
    <mergeCell ref="F17:H17"/>
    <mergeCell ref="D21:E21"/>
    <mergeCell ref="D16:E16"/>
    <mergeCell ref="F22:H22"/>
    <mergeCell ref="AJ9:AJ10"/>
    <mergeCell ref="AI37:AI38"/>
    <mergeCell ref="I9:K9"/>
    <mergeCell ref="L9:N9"/>
    <mergeCell ref="D18:E18"/>
    <mergeCell ref="F18:H18"/>
    <mergeCell ref="D25:E25"/>
    <mergeCell ref="F25:H25"/>
    <mergeCell ref="J2:M5"/>
    <mergeCell ref="C3:D3"/>
    <mergeCell ref="D19:E19"/>
    <mergeCell ref="F19:H19"/>
    <mergeCell ref="D20:E20"/>
    <mergeCell ref="F20:H20"/>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B37:B38"/>
    <mergeCell ref="C37:D37"/>
    <mergeCell ref="E37:G37"/>
    <mergeCell ref="H37:H38"/>
    <mergeCell ref="I37:K38"/>
    <mergeCell ref="M82:N82"/>
    <mergeCell ref="M83:N83"/>
    <mergeCell ref="M80:N80"/>
    <mergeCell ref="M81:N81"/>
    <mergeCell ref="M78:N78"/>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M74:N74"/>
    <mergeCell ref="M75:N75"/>
    <mergeCell ref="I59:K59"/>
    <mergeCell ref="L59:N59"/>
    <mergeCell ref="M71:N71"/>
    <mergeCell ref="J70:K70"/>
    <mergeCell ref="J71:K71"/>
    <mergeCell ref="M70:N70"/>
    <mergeCell ref="F55:G55"/>
    <mergeCell ref="I55:K55"/>
    <mergeCell ref="L55:N55"/>
    <mergeCell ref="F72:G72"/>
    <mergeCell ref="F73:G73"/>
    <mergeCell ref="F70:G70"/>
    <mergeCell ref="F71:G71"/>
    <mergeCell ref="F58:G58"/>
    <mergeCell ref="M85:N85"/>
    <mergeCell ref="B64:B65"/>
    <mergeCell ref="F82:G82"/>
    <mergeCell ref="F83:G83"/>
    <mergeCell ref="F65:G65"/>
    <mergeCell ref="F66:G66"/>
    <mergeCell ref="F67:G67"/>
    <mergeCell ref="F68:G68"/>
    <mergeCell ref="F69:G69"/>
    <mergeCell ref="J74:K74"/>
    <mergeCell ref="J75:K75"/>
    <mergeCell ref="J76:K76"/>
    <mergeCell ref="J77:K77"/>
    <mergeCell ref="F75:G75"/>
    <mergeCell ref="F76:G76"/>
    <mergeCell ref="F77:G77"/>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T48:U48"/>
    <mergeCell ref="T49:U49"/>
    <mergeCell ref="T50:U50"/>
    <mergeCell ref="T51:U51"/>
    <mergeCell ref="T52:U52"/>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L52:N52"/>
    <mergeCell ref="F53:G53"/>
    <mergeCell ref="I53:K53"/>
    <mergeCell ref="L53:N53"/>
    <mergeCell ref="F40:G40"/>
    <mergeCell ref="L46:N46"/>
    <mergeCell ref="F47:G47"/>
    <mergeCell ref="I47:K47"/>
    <mergeCell ref="L47:N47"/>
    <mergeCell ref="I44:K44"/>
    <mergeCell ref="F44:G44"/>
    <mergeCell ref="F51:G51"/>
    <mergeCell ref="I51:K51"/>
    <mergeCell ref="L51:N51"/>
    <mergeCell ref="I41:K41"/>
    <mergeCell ref="F42:G42"/>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AR64:AV64"/>
    <mergeCell ref="T37:V37"/>
    <mergeCell ref="T38:U38"/>
    <mergeCell ref="T39:U39"/>
    <mergeCell ref="T40:U40"/>
    <mergeCell ref="T41:U41"/>
    <mergeCell ref="T42:U42"/>
    <mergeCell ref="T43:U43"/>
    <mergeCell ref="T55:U55"/>
    <mergeCell ref="T56:U56"/>
    <mergeCell ref="T57:U57"/>
    <mergeCell ref="T58:U58"/>
    <mergeCell ref="T44:U44"/>
    <mergeCell ref="T45:U45"/>
    <mergeCell ref="T46:U46"/>
    <mergeCell ref="T47:U47"/>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s>
  <conditionalFormatting sqref="E66:E85">
    <cfRule type="cellIs" dxfId="77" priority="56" operator="equal">
      <formula>"Enhancement not possible"</formula>
    </cfRule>
  </conditionalFormatting>
  <conditionalFormatting sqref="F39:F58">
    <cfRule type="expression" dxfId="74" priority="80">
      <formula>ISNUMBER(SEARCH(F39,E39,1))</formula>
    </cfRule>
    <cfRule type="containsBlanks" dxfId="73" priority="79">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K11:K30">
    <cfRule type="expression" dxfId="60" priority="87">
      <formula>$AI11="Enhancement not possible"</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26" operator="containsText" id="{00000000-000E-0000-0600-00007E000000}">
            <xm:f>NOT(ISERROR(SEARCH("Trading Rules Satisfied",E97)))</xm:f>
            <x14:dxf>
              <font>
                <color theme="1"/>
              </font>
              <fill>
                <patternFill>
                  <bgColor theme="9" tint="0.39994506668294322"/>
                </patternFill>
              </fill>
            </x14:dxf>
          </x14:cfRule>
          <x14:cfRule type="containsText" priority="127" operator="containsText" id="{00000000-000E-0000-0600-00007F000000}">
            <xm:f>NOT(ISERROR(SEARCH("Error - Trading Rules Not Satisfied",E97)))</xm:f>
            <x14:dxf>
              <font>
                <color theme="0"/>
              </font>
              <fill>
                <patternFill>
                  <bgColor rgb="FFC00000"/>
                </patternFill>
              </fill>
            </x14:dxf>
          </x14:cfRule>
          <xm:sqref>E97</xm:sqref>
        </x14:conditionalFormatting>
        <x14:conditionalFormatting xmlns:xm="http://schemas.microsoft.com/office/excel/2006/main">
          <x14:cfRule type="containsText" priority="1" operator="containsText" id="{00000000-000E-0000-0600-000001000000}">
            <xm:f>NOT(ISERROR(SEARCH("No",I103)))</xm:f>
            <x14:dxf>
              <font>
                <color theme="0"/>
              </font>
              <fill>
                <patternFill>
                  <bgColor rgb="FFC00000"/>
                </patternFill>
              </fill>
            </x14:dxf>
          </x14:cfRule>
          <x14:cfRule type="containsText" priority="2" operator="containsText" id="{00000000-000E-0000-0600-000002000000}">
            <xm:f>NOT(ISERROR(SEARCH("Yes",I103)))</xm:f>
            <x14:dxf>
              <font>
                <color theme="1"/>
              </font>
              <fill>
                <patternFill>
                  <bgColor theme="9" tint="0.39994506668294322"/>
                </patternFill>
              </fill>
            </x14:dxf>
          </x14:cfRule>
          <xm:sqref>I103 I106</xm:sqref>
        </x14:conditionalFormatting>
        <x14:conditionalFormatting xmlns:xm="http://schemas.microsoft.com/office/excel/2006/main">
          <x14:cfRule type="containsText" priority="86" operator="containsText" id="{00000000-000E-0000-0600-000056000000}">
            <xm:f>NOT(ISERROR(SEARCH("acceptable",I32)))</xm:f>
            <x14:dxf>
              <font>
                <color auto="1"/>
              </font>
              <fill>
                <patternFill>
                  <bgColor theme="9" tint="0.39994506668294322"/>
                </patternFill>
              </fill>
            </x14:dxf>
          </x14:cfRule>
          <x14:cfRule type="containsText" priority="85" operator="containsText" id="{00000000-000E-0000-0600-000055000000}">
            <xm:f>NOT(ISERROR(SEARCH("error",I32)))</xm:f>
            <x14:dxf>
              <font>
                <color theme="0"/>
              </font>
              <fill>
                <patternFill>
                  <bgColor rgb="FFC00000"/>
                </patternFill>
              </fill>
            </x14:dxf>
          </x14:cfRule>
          <xm:sqref>I32:N32</xm:sqref>
        </x14:conditionalFormatting>
        <x14:conditionalFormatting xmlns:xm="http://schemas.microsoft.com/office/excel/2006/main">
          <x14:cfRule type="containsText" priority="6" operator="containsText" id="{00000000-000E-0000-0600-000006000000}">
            <xm:f>NOT(ISERROR(SEARCH("▲",I33)))</xm:f>
            <x14:dxf>
              <font>
                <color theme="0"/>
              </font>
              <fill>
                <patternFill>
                  <bgColor rgb="FFC00000"/>
                </patternFill>
              </fill>
            </x14:dxf>
          </x14:cfRule>
          <x14:cfRule type="containsText" priority="7" operator="containsText" id="{00000000-000E-0000-0600-000007000000}">
            <xm:f>NOT(ISERROR(SEARCH(" ✓",I33)))</xm:f>
            <x14:dxf>
              <fill>
                <patternFill>
                  <bgColor theme="9" tint="0.39994506668294322"/>
                </patternFill>
              </fill>
            </x14:dxf>
          </x14:cfRule>
          <xm:sqref>I33:N33</xm:sqref>
        </x14:conditionalFormatting>
        <x14:conditionalFormatting xmlns:xm="http://schemas.microsoft.com/office/excel/2006/main">
          <x14:cfRule type="containsText" priority="105" operator="containsText" id="{00000000-000E-0000-0600-000069000000}">
            <xm:f>NOT(ISERROR(SEARCH("Errors Present On Sheet",J2)))</xm:f>
            <x14:dxf>
              <font>
                <color theme="0"/>
              </font>
              <fill>
                <patternFill>
                  <bgColor rgb="FFC00000"/>
                </patternFill>
              </fill>
              <border>
                <left style="thin">
                  <color rgb="FFFF0000"/>
                </left>
                <right style="thin">
                  <color rgb="FFFF0000"/>
                </right>
                <top style="thin">
                  <color rgb="FFFF0000"/>
                </top>
                <bottom style="thin">
                  <color rgb="FFFF0000"/>
                </bottom>
              </border>
            </x14:dxf>
          </x14:cfRule>
          <xm:sqref>J2 O6</xm:sqref>
        </x14:conditionalFormatting>
        <x14:conditionalFormatting xmlns:xm="http://schemas.microsoft.com/office/excel/2006/main">
          <x14:cfRule type="containsText" priority="82" operator="containsText" id="{00000000-000E-0000-0600-000052000000}">
            <xm:f>NOT(ISERROR(SEARCH("Technical",J2)))</xm:f>
            <x14:dxf>
              <font>
                <color theme="0"/>
              </font>
              <fill>
                <patternFill>
                  <bgColor rgb="FFC00000"/>
                </patternFill>
              </fill>
            </x14:dxf>
          </x14:cfRule>
          <xm:sqref>J2</xm:sqref>
        </x14:conditionalFormatting>
        <x14:conditionalFormatting xmlns:xm="http://schemas.microsoft.com/office/excel/2006/main">
          <x14:cfRule type="containsText" priority="30" operator="containsText" id="{00000000-000E-0000-0600-00001E000000}">
            <xm:f>NOT(ISERROR(SEARCH("▲",L11)))</xm:f>
            <x14:dxf>
              <font>
                <color theme="0"/>
              </font>
              <fill>
                <patternFill>
                  <bgColor rgb="FFC00000"/>
                </patternFill>
              </fill>
            </x14:dxf>
          </x14:cfRule>
          <x14:cfRule type="containsText" priority="31" operator="containsText" id="{00000000-000E-0000-0600-00001F000000}">
            <xm:f>NOT(ISERROR(SEARCH("value",L11)))</xm:f>
            <x14:dxf>
              <font>
                <color theme="0"/>
              </font>
              <fill>
                <patternFill>
                  <bgColor rgb="FFC00000"/>
                </patternFill>
              </fill>
            </x14:dxf>
          </x14:cfRule>
          <xm:sqref>L11:L30</xm:sqref>
        </x14:conditionalFormatting>
        <x14:conditionalFormatting xmlns:xm="http://schemas.microsoft.com/office/excel/2006/main">
          <x14:cfRule type="containsText" priority="19" operator="containsText" id="{00000000-000E-0000-0600-000013000000}">
            <xm:f>NOT(ISERROR(SEARCH("value",L39)))</xm:f>
            <x14:dxf>
              <font>
                <color theme="0"/>
              </font>
              <fill>
                <patternFill>
                  <bgColor rgb="FFC00000"/>
                </patternFill>
              </fill>
            </x14:dxf>
          </x14:cfRule>
          <x14:cfRule type="containsText" priority="18" operator="containsText" id="{00000000-000E-0000-0600-000012000000}">
            <xm:f>NOT(ISERROR(SEARCH("▲",L39)))</xm:f>
            <x14:dxf>
              <font>
                <color theme="0"/>
              </font>
              <fill>
                <patternFill>
                  <bgColor rgb="FFC00000"/>
                </patternFill>
              </fill>
            </x14:dxf>
          </x14:cfRule>
          <xm:sqref>L39:N58</xm:sqref>
        </x14:conditionalFormatting>
        <x14:conditionalFormatting xmlns:xm="http://schemas.microsoft.com/office/excel/2006/main">
          <x14:cfRule type="containsText" priority="4" operator="containsText" id="{00000000-000E-0000-0600-000004000000}">
            <xm:f>NOT(ISERROR(SEARCH("▲",L66)))</xm:f>
            <x14:dxf>
              <font>
                <color theme="0"/>
              </font>
              <fill>
                <patternFill>
                  <bgColor rgb="FFC00000"/>
                </patternFill>
              </fill>
            </x14:dxf>
          </x14:cfRule>
          <xm:sqref>L66:N85</xm:sqref>
        </x14:conditionalFormatting>
        <x14:conditionalFormatting xmlns:xm="http://schemas.microsoft.com/office/excel/2006/main">
          <x14:cfRule type="containsText" priority="33" operator="containsText" id="{00000000-000E-0000-0600-000021000000}">
            <xm:f>NOT(ISERROR(SEARCH("error",M11)))</xm:f>
            <x14:dxf>
              <font>
                <color theme="0"/>
              </font>
              <fill>
                <patternFill>
                  <bgColor rgb="FFC00000"/>
                </patternFill>
              </fill>
            </x14:dxf>
          </x14:cfRule>
          <xm:sqref>M11:M30</xm:sqref>
        </x14:conditionalFormatting>
        <x14:conditionalFormatting xmlns:xm="http://schemas.microsoft.com/office/excel/2006/main">
          <x14:cfRule type="containsText" priority="32" operator="containsText" id="{00000000-000E-0000-0600-000020000000}">
            <xm:f>NOT(ISERROR(SEARCH("▲",N11)))</xm:f>
            <x14:dxf>
              <font>
                <color theme="0"/>
              </font>
              <fill>
                <patternFill>
                  <bgColor rgb="FFC00000"/>
                </patternFill>
              </fill>
            </x14:dxf>
          </x14:cfRule>
          <x14:cfRule type="containsText" priority="29" operator="containsText" id="{00000000-000E-0000-0600-00001D000000}">
            <xm:f>NOT(ISERROR(SEARCH("value",N11)))</xm:f>
            <x14:dxf>
              <font>
                <color theme="0"/>
              </font>
              <fill>
                <patternFill>
                  <bgColor rgb="FFC00000"/>
                </patternFill>
              </fill>
            </x14:dxf>
          </x14:cfRule>
          <xm:sqref>N11:N30</xm:sqref>
        </x14:conditionalFormatting>
        <x14:conditionalFormatting xmlns:xm="http://schemas.microsoft.com/office/excel/2006/main">
          <x14:cfRule type="containsText" priority="5" operator="containsText" id="{00000000-000E-0000-0600-000005000000}">
            <xm:f>NOT(ISERROR(SEARCH("▲",P1)))</xm:f>
            <x14:dxf>
              <font>
                <color theme="0"/>
              </font>
              <fill>
                <patternFill>
                  <bgColor rgb="FFC00000"/>
                </patternFill>
              </fill>
            </x14:dxf>
          </x14:cfRule>
          <xm:sqref>P1:P5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F74"/>
  <sheetViews>
    <sheetView workbookViewId="0"/>
  </sheetViews>
  <sheetFormatPr defaultColWidth="0" defaultRowHeight="15.75"/>
  <cols>
    <col min="1" max="1" width="14.28515625" customWidth="1"/>
    <col min="2" max="2" width="30.5703125" customWidth="1"/>
    <col min="3" max="3" width="45.140625" customWidth="1"/>
    <col min="4" max="4" width="76.42578125" customWidth="1"/>
    <col min="5" max="5" width="13" customWidth="1"/>
    <col min="6" max="6" width="19.5703125" style="493" customWidth="1"/>
    <col min="7" max="7" width="29.140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140625" hidden="1" customWidth="1"/>
    <col min="20" max="24" width="8.7109375" hidden="1" customWidth="1"/>
    <col min="25" max="32" width="0" hidden="1" customWidth="1"/>
    <col min="33" max="16384" width="8.7109375" hidden="1"/>
  </cols>
  <sheetData>
    <row r="1" spans="1:24">
      <c r="A1" s="25"/>
      <c r="B1" s="25"/>
      <c r="C1" s="25"/>
      <c r="D1" s="25"/>
      <c r="E1" s="25"/>
      <c r="F1" s="488"/>
      <c r="G1" s="25"/>
      <c r="H1" s="25"/>
      <c r="I1" s="25"/>
      <c r="J1" s="25"/>
      <c r="K1" s="25"/>
      <c r="L1" s="25"/>
      <c r="M1" s="25"/>
      <c r="N1" s="25"/>
      <c r="O1" s="25"/>
      <c r="P1" s="25"/>
      <c r="Q1" s="25"/>
      <c r="R1" s="25"/>
      <c r="S1" s="25"/>
      <c r="T1" s="25"/>
      <c r="U1" s="25"/>
      <c r="V1" s="25"/>
      <c r="W1" s="25"/>
      <c r="X1" s="25"/>
    </row>
    <row r="2" spans="1:24" ht="24.6" customHeight="1">
      <c r="A2" s="25"/>
      <c r="B2" s="649" t="s">
        <v>66</v>
      </c>
      <c r="C2" s="650"/>
      <c r="D2" s="639" t="str">
        <f>IF('2. Site Details'!D4="","Enter site name on 2. Site Details",'2. Site Details'!D4)</f>
        <v>H08-0036-26 Polytunnel Site</v>
      </c>
      <c r="E2" s="640"/>
      <c r="F2" s="495"/>
      <c r="G2" s="52"/>
      <c r="H2" s="52"/>
      <c r="I2" s="52"/>
      <c r="J2" s="52"/>
      <c r="K2" s="52"/>
      <c r="L2" s="52"/>
      <c r="M2" s="52"/>
      <c r="N2" s="52"/>
      <c r="O2" s="52"/>
      <c r="P2" s="52"/>
      <c r="Q2" s="52"/>
      <c r="R2" s="52"/>
      <c r="S2" s="52"/>
      <c r="T2" s="52"/>
      <c r="U2" s="52"/>
      <c r="V2" s="52"/>
      <c r="W2" s="52"/>
      <c r="X2" s="25"/>
    </row>
    <row r="3" spans="1:24" ht="24.6" customHeight="1">
      <c r="A3" s="25"/>
      <c r="B3" s="647" t="s">
        <v>16</v>
      </c>
      <c r="C3" s="648"/>
      <c r="D3" s="637" t="s">
        <v>274</v>
      </c>
      <c r="E3" s="638"/>
      <c r="F3" s="489"/>
      <c r="G3" s="52"/>
      <c r="H3" s="994"/>
      <c r="I3" s="994"/>
      <c r="J3" s="994"/>
      <c r="K3" s="994"/>
      <c r="L3" s="994"/>
      <c r="M3" s="994"/>
      <c r="N3" s="994"/>
      <c r="O3" s="994"/>
      <c r="P3" s="52"/>
      <c r="Q3" s="52"/>
      <c r="R3" s="52"/>
      <c r="S3" s="52"/>
      <c r="T3" s="52"/>
      <c r="U3" s="52"/>
      <c r="V3" s="52"/>
      <c r="W3" s="52"/>
      <c r="X3" s="25"/>
    </row>
    <row r="4" spans="1:24" ht="34.15" customHeight="1">
      <c r="A4" s="25"/>
      <c r="B4" s="56" t="s">
        <v>274</v>
      </c>
      <c r="C4" s="25"/>
      <c r="D4" s="25"/>
      <c r="E4" s="25"/>
      <c r="F4" s="489"/>
      <c r="G4" s="52"/>
      <c r="H4" s="52"/>
      <c r="I4" s="52"/>
      <c r="J4" s="52"/>
      <c r="K4" s="52"/>
      <c r="L4" s="52"/>
      <c r="M4" s="52"/>
      <c r="N4" s="52"/>
      <c r="O4" s="52"/>
      <c r="P4" s="52"/>
      <c r="Q4" s="52"/>
      <c r="R4" s="52"/>
      <c r="S4" s="52"/>
      <c r="T4" s="52"/>
      <c r="U4" s="52"/>
      <c r="V4" s="52"/>
      <c r="W4" s="52"/>
      <c r="X4" s="25"/>
    </row>
    <row r="5" spans="1:24" ht="24.6" customHeight="1">
      <c r="A5" s="25"/>
      <c r="B5" s="633" t="s">
        <v>275</v>
      </c>
      <c r="C5" s="1003"/>
      <c r="D5" s="989" t="str">
        <f>IF(OR(D27&gt;0,D28&gt;0,D29&gt;0),"BNG Targets Not Met ▲","BNG Targets Met ✓")</f>
        <v>BNG Targets Met ✓</v>
      </c>
      <c r="E5" s="876"/>
      <c r="F5" s="489"/>
      <c r="G5" s="52"/>
      <c r="H5" s="52"/>
      <c r="I5" s="52"/>
      <c r="J5" s="52"/>
      <c r="K5" s="52"/>
      <c r="L5" s="52"/>
      <c r="M5" s="52"/>
      <c r="N5" s="52"/>
      <c r="O5" s="52"/>
      <c r="P5" s="52"/>
      <c r="Q5" s="52"/>
      <c r="R5" s="52"/>
      <c r="S5" s="52"/>
      <c r="T5" s="52"/>
      <c r="U5" s="52"/>
      <c r="V5" s="52"/>
      <c r="W5" s="52"/>
      <c r="X5" s="25"/>
    </row>
    <row r="6" spans="1:24" ht="24.6" customHeight="1">
      <c r="A6" s="25"/>
      <c r="B6" s="25"/>
      <c r="C6" s="25"/>
      <c r="D6" s="164"/>
      <c r="E6" s="164"/>
      <c r="F6" s="489"/>
      <c r="G6" s="52"/>
      <c r="H6" s="52"/>
      <c r="I6" s="52"/>
      <c r="J6" s="52"/>
      <c r="K6" s="52"/>
      <c r="L6" s="52"/>
      <c r="M6" s="52"/>
      <c r="N6" s="52"/>
      <c r="O6" s="52"/>
      <c r="P6" s="52"/>
      <c r="Q6" s="52"/>
      <c r="R6" s="52"/>
      <c r="S6" s="52"/>
      <c r="T6" s="52"/>
      <c r="U6" s="52"/>
      <c r="V6" s="52"/>
      <c r="W6" s="52"/>
      <c r="X6" s="25"/>
    </row>
    <row r="7" spans="1:24" ht="24.6" customHeight="1">
      <c r="A7" s="25"/>
      <c r="B7" s="633" t="s">
        <v>276</v>
      </c>
      <c r="C7" s="634"/>
      <c r="D7" s="986" t="str">
        <f ca="1">IF('5. Area Habitats'!J108+'5. Area Habitats'!J109+'6. Hedges &amp; Lines of Trees'!J97+'7. Watercourses'!J97&gt;0,"Trading Rules Not Satisfied ▲","Trading Rules Satisfied ✓")</f>
        <v>Trading Rules Satisfied ✓</v>
      </c>
      <c r="E7" s="987"/>
      <c r="F7" s="496"/>
      <c r="G7" s="381"/>
      <c r="H7" s="382"/>
      <c r="I7" s="383"/>
      <c r="J7" s="52"/>
      <c r="K7" s="52"/>
      <c r="L7" s="52"/>
      <c r="M7" s="52"/>
      <c r="N7" s="52"/>
      <c r="O7" s="52"/>
      <c r="P7" s="52"/>
      <c r="Q7" s="52"/>
      <c r="R7" s="52"/>
      <c r="S7" s="52"/>
      <c r="T7" s="52"/>
      <c r="U7" s="52"/>
      <c r="V7" s="52"/>
      <c r="W7" s="52"/>
      <c r="X7" s="25"/>
    </row>
    <row r="8" spans="1:24" ht="24.6" customHeight="1">
      <c r="A8" s="25"/>
      <c r="B8" s="25"/>
      <c r="C8" s="25"/>
      <c r="D8" s="164"/>
      <c r="E8" s="164"/>
      <c r="F8" s="496"/>
      <c r="G8" s="52"/>
      <c r="H8" s="52"/>
      <c r="I8" s="52"/>
      <c r="J8" s="52"/>
      <c r="K8" s="52"/>
      <c r="L8" s="52"/>
      <c r="M8" s="52"/>
      <c r="N8" s="52"/>
      <c r="O8" s="52"/>
      <c r="P8" s="52"/>
      <c r="Q8" s="52"/>
      <c r="R8" s="52"/>
      <c r="S8" s="52"/>
      <c r="T8" s="52"/>
      <c r="U8" s="52"/>
      <c r="V8" s="52"/>
      <c r="W8" s="52"/>
      <c r="X8" s="25"/>
    </row>
    <row r="9" spans="1:24" ht="24.6" customHeight="1">
      <c r="A9" s="25"/>
      <c r="B9" s="633" t="s">
        <v>277</v>
      </c>
      <c r="C9" s="1003"/>
      <c r="D9" s="990" t="str">
        <f ca="1">IF(OR(D5="BNG Targets Not Met ▲",D7="Trading Rules Not Satisfied ▲"),"Scheme alterations or offsite units required","Check for input errors/rule breaks present in the metric ⚠")</f>
        <v>Check for input errors/rule breaks present in the metric ⚠</v>
      </c>
      <c r="E9" s="991"/>
      <c r="F9" s="489"/>
      <c r="G9" s="29"/>
      <c r="H9" s="29"/>
      <c r="I9" s="29"/>
      <c r="J9" s="29"/>
      <c r="K9" s="29"/>
      <c r="L9" s="29"/>
      <c r="M9" s="29"/>
      <c r="N9" s="29"/>
      <c r="O9" s="29"/>
      <c r="P9" s="29"/>
      <c r="Q9" s="54"/>
      <c r="R9" s="29"/>
      <c r="S9" s="52"/>
      <c r="T9" s="52"/>
      <c r="U9" s="52"/>
      <c r="V9" s="52"/>
      <c r="W9" s="52"/>
      <c r="X9" s="25"/>
    </row>
    <row r="10" spans="1:24" ht="43.5" customHeight="1">
      <c r="A10" s="25"/>
      <c r="B10" s="25"/>
      <c r="C10" s="25"/>
      <c r="D10" s="988"/>
      <c r="E10" s="988"/>
      <c r="F10" s="489" t="s">
        <v>278</v>
      </c>
      <c r="G10" s="29"/>
      <c r="H10" s="29"/>
      <c r="I10" s="29"/>
      <c r="J10" s="29"/>
      <c r="K10" s="29"/>
      <c r="L10" s="29"/>
      <c r="M10" s="29"/>
      <c r="N10" s="29"/>
      <c r="O10" s="29"/>
      <c r="P10" s="29"/>
      <c r="Q10" s="54"/>
      <c r="R10" s="29"/>
      <c r="S10" s="52"/>
      <c r="T10" s="52"/>
      <c r="U10" s="52"/>
      <c r="V10" s="52"/>
      <c r="W10" s="52"/>
      <c r="X10" s="25"/>
    </row>
    <row r="11" spans="1:24" ht="24.6" customHeight="1">
      <c r="A11" s="25"/>
      <c r="B11" s="983" t="s">
        <v>279</v>
      </c>
      <c r="C11" s="272" t="s">
        <v>280</v>
      </c>
      <c r="D11" s="482">
        <f>IF('5. Area Habitats'!L32=0,"Zero Units Baseline",'5. Area Habitats'!L32)</f>
        <v>2.5464519999999999</v>
      </c>
      <c r="E11" s="483"/>
      <c r="F11" s="489">
        <f>('2. Site Details'!$D$13/100)*$D$11</f>
        <v>0.25464520000000002</v>
      </c>
      <c r="G11" s="377"/>
      <c r="H11" s="29"/>
      <c r="I11" s="29"/>
      <c r="J11" s="29"/>
      <c r="K11" s="29"/>
      <c r="L11" s="29"/>
      <c r="M11" s="29"/>
      <c r="N11" s="29"/>
      <c r="O11" s="29"/>
      <c r="P11" s="29"/>
      <c r="Q11" s="54"/>
      <c r="R11" s="29"/>
      <c r="S11" s="52"/>
      <c r="T11" s="52"/>
      <c r="U11" s="52"/>
      <c r="V11" s="52"/>
      <c r="W11" s="52"/>
      <c r="X11" s="25"/>
    </row>
    <row r="12" spans="1:24" ht="24.6" customHeight="1">
      <c r="A12" s="25"/>
      <c r="B12" s="984"/>
      <c r="C12" s="273" t="s">
        <v>281</v>
      </c>
      <c r="D12" s="484" t="str">
        <f>IF('6. Hedges &amp; Lines of Trees'!L31=0,"Zero Units Baseline",'6. Hedges &amp; Lines of Trees'!L31)</f>
        <v>Zero Units Baseline</v>
      </c>
      <c r="E12" s="485"/>
      <c r="F12" s="489" t="e">
        <f>('2. Site Details'!$D$14/100)*$D$12</f>
        <v>#VALUE!</v>
      </c>
      <c r="G12" s="378"/>
      <c r="H12" s="29"/>
      <c r="I12" s="29"/>
      <c r="J12" s="29"/>
      <c r="K12" s="29"/>
      <c r="L12" s="29"/>
      <c r="M12" s="29"/>
      <c r="N12" s="29"/>
      <c r="O12" s="29"/>
      <c r="P12" s="29"/>
      <c r="Q12" s="54"/>
      <c r="R12" s="29"/>
      <c r="S12" s="52"/>
      <c r="T12" s="52"/>
      <c r="U12" s="52"/>
      <c r="V12" s="52"/>
      <c r="W12" s="52"/>
      <c r="X12" s="25"/>
    </row>
    <row r="13" spans="1:24" ht="24.6" customHeight="1">
      <c r="A13" s="25"/>
      <c r="B13" s="985"/>
      <c r="C13" s="274" t="s">
        <v>282</v>
      </c>
      <c r="D13" s="486" t="str">
        <f>IF('7. Watercourses'!L31=0,"Zero Units Baseline",'7. Watercourses'!L31)</f>
        <v>Zero Units Baseline</v>
      </c>
      <c r="E13" s="487"/>
      <c r="F13" s="489" t="e">
        <f>('2. Site Details'!$D$15/100)*$D$13</f>
        <v>#VALUE!</v>
      </c>
      <c r="G13" s="379"/>
      <c r="H13" s="29"/>
      <c r="I13" s="29"/>
      <c r="J13" s="29"/>
      <c r="K13" s="29"/>
      <c r="L13" s="29"/>
      <c r="M13" s="29"/>
      <c r="N13" s="29"/>
      <c r="O13" s="29"/>
      <c r="P13" s="29"/>
      <c r="Q13" s="54"/>
      <c r="R13" s="29"/>
      <c r="S13" s="52"/>
      <c r="T13" s="52"/>
      <c r="U13" s="52"/>
      <c r="V13" s="52"/>
      <c r="W13" s="52"/>
      <c r="X13" s="25"/>
    </row>
    <row r="14" spans="1:24" ht="24.6" customHeight="1">
      <c r="A14" s="25"/>
      <c r="B14" s="25"/>
      <c r="C14" s="25"/>
      <c r="D14" s="164"/>
      <c r="E14" s="164"/>
      <c r="F14" s="489" t="s">
        <v>283</v>
      </c>
      <c r="G14" s="29"/>
      <c r="H14" s="29"/>
      <c r="I14" s="29"/>
      <c r="J14" s="29"/>
      <c r="K14" s="29"/>
      <c r="L14" s="29"/>
      <c r="M14" s="29"/>
      <c r="N14" s="29"/>
      <c r="O14" s="29"/>
      <c r="P14" s="29"/>
      <c r="Q14" s="54"/>
      <c r="R14" s="29"/>
      <c r="S14" s="52"/>
      <c r="T14" s="52"/>
      <c r="U14" s="52"/>
      <c r="V14" s="52"/>
      <c r="W14" s="52"/>
      <c r="X14" s="25"/>
    </row>
    <row r="15" spans="1:24" ht="24.6" customHeight="1">
      <c r="A15" s="25"/>
      <c r="B15" s="983" t="s">
        <v>284</v>
      </c>
      <c r="C15" s="272" t="s">
        <v>280</v>
      </c>
      <c r="D15" s="482">
        <f>'5. Area Habitats'!P3+'5. Area Habitats'!P4+'5. Area Habitats'!P1</f>
        <v>3.8064391332</v>
      </c>
      <c r="E15" s="483"/>
      <c r="F15" s="490">
        <f>D11+F11</f>
        <v>2.8010972000000001</v>
      </c>
      <c r="G15" s="29"/>
      <c r="H15" s="29"/>
      <c r="I15" s="29"/>
      <c r="J15" s="29"/>
      <c r="K15" s="29"/>
      <c r="L15" s="29"/>
      <c r="M15" s="29"/>
      <c r="N15" s="29"/>
      <c r="O15" s="29"/>
      <c r="P15" s="29"/>
      <c r="Q15" s="54"/>
      <c r="R15" s="29"/>
      <c r="S15" s="52"/>
      <c r="T15" s="52"/>
      <c r="U15" s="52"/>
      <c r="V15" s="52"/>
      <c r="W15" s="52"/>
      <c r="X15" s="25"/>
    </row>
    <row r="16" spans="1:24" ht="24.6" customHeight="1">
      <c r="A16" s="25"/>
      <c r="B16" s="984"/>
      <c r="C16" s="273" t="s">
        <v>281</v>
      </c>
      <c r="D16" s="484">
        <f>'6. Hedges &amp; Lines of Trees'!P3+'6. Hedges &amp; Lines of Trees'!P4+'6. Hedges &amp; Lines of Trees'!P1</f>
        <v>0.21229999999999999</v>
      </c>
      <c r="E16" s="485"/>
      <c r="F16" s="490" t="e">
        <f>D12+F12</f>
        <v>#VALUE!</v>
      </c>
      <c r="G16" s="29"/>
      <c r="H16" s="29"/>
      <c r="I16" s="29"/>
      <c r="J16" s="29"/>
      <c r="K16" s="29"/>
      <c r="L16" s="29"/>
      <c r="M16" s="29"/>
      <c r="N16" s="29"/>
      <c r="O16" s="29"/>
      <c r="P16" s="29"/>
      <c r="Q16" s="54"/>
      <c r="R16" s="29"/>
      <c r="S16" s="52"/>
      <c r="T16" s="52"/>
      <c r="U16" s="52"/>
      <c r="V16" s="52"/>
      <c r="W16" s="52"/>
      <c r="X16" s="25"/>
    </row>
    <row r="17" spans="1:24" ht="24.6" customHeight="1">
      <c r="A17" s="25"/>
      <c r="B17" s="985"/>
      <c r="C17" s="274" t="s">
        <v>282</v>
      </c>
      <c r="D17" s="486">
        <f>'7. Watercourses'!P3+'7. Watercourses'!P4+'7. Watercourses'!P1</f>
        <v>0</v>
      </c>
      <c r="E17" s="487"/>
      <c r="F17" s="490" t="e">
        <f>D13+F13</f>
        <v>#VALUE!</v>
      </c>
      <c r="G17" s="29"/>
      <c r="H17" s="29"/>
      <c r="I17" s="29"/>
      <c r="J17" s="29"/>
      <c r="K17" s="29"/>
      <c r="L17" s="29"/>
      <c r="M17" s="29"/>
      <c r="N17" s="29"/>
      <c r="O17" s="29"/>
      <c r="P17" s="29"/>
      <c r="Q17" s="54"/>
      <c r="R17" s="29"/>
      <c r="S17" s="52"/>
      <c r="T17" s="52"/>
      <c r="U17" s="52"/>
      <c r="V17" s="52"/>
      <c r="W17" s="52"/>
      <c r="X17" s="25"/>
    </row>
    <row r="18" spans="1:24" ht="24.6" customHeight="1">
      <c r="A18" s="25"/>
      <c r="B18" s="25"/>
      <c r="C18" s="25"/>
      <c r="D18" s="164"/>
      <c r="E18" s="164"/>
      <c r="F18" s="489"/>
      <c r="G18" s="29"/>
      <c r="H18" s="29"/>
      <c r="I18" s="29"/>
      <c r="J18" s="29"/>
      <c r="K18" s="29"/>
      <c r="L18" s="29"/>
      <c r="M18" s="29"/>
      <c r="N18" s="29"/>
      <c r="O18" s="29"/>
      <c r="P18" s="29"/>
      <c r="Q18" s="54"/>
      <c r="R18" s="29"/>
      <c r="S18" s="52"/>
      <c r="T18" s="52"/>
      <c r="U18" s="52"/>
      <c r="V18" s="52"/>
      <c r="W18" s="52"/>
      <c r="X18" s="25"/>
    </row>
    <row r="19" spans="1:24" ht="24.6" customHeight="1">
      <c r="A19" s="25"/>
      <c r="B19" s="983" t="s">
        <v>285</v>
      </c>
      <c r="C19" s="527" t="s">
        <v>280</v>
      </c>
      <c r="D19" s="532">
        <f>'5. Area Habitats'!P5</f>
        <v>1.2599871332000001</v>
      </c>
      <c r="E19" s="533" t="str">
        <f t="array" ref="E19">_xlfn.IFS(D19&gt;=F11,"✓",D19&lt;0,"▲", D19&lt;F11,"⚠")</f>
        <v>✓</v>
      </c>
      <c r="F19" s="491">
        <f>F11/D11</f>
        <v>0.1</v>
      </c>
      <c r="G19" s="29"/>
      <c r="H19" s="29"/>
      <c r="I19" s="29"/>
      <c r="J19" s="29"/>
      <c r="K19" s="29"/>
      <c r="L19" s="29"/>
      <c r="M19" s="29"/>
      <c r="N19" s="29"/>
      <c r="O19" s="29"/>
      <c r="P19" s="29"/>
      <c r="Q19" s="54"/>
      <c r="R19" s="29"/>
      <c r="S19" s="52"/>
      <c r="T19" s="52"/>
      <c r="U19" s="52"/>
      <c r="V19" s="52"/>
      <c r="W19" s="52"/>
      <c r="X19" s="25"/>
    </row>
    <row r="20" spans="1:24" ht="24.6" customHeight="1">
      <c r="A20" s="25"/>
      <c r="B20" s="984"/>
      <c r="C20" s="528" t="s">
        <v>281</v>
      </c>
      <c r="D20" s="534">
        <f>'6. Hedges &amp; Lines of Trees'!P5</f>
        <v>0.21229999999999999</v>
      </c>
      <c r="E20" s="535" t="e">
        <f t="array" ref="E20">_xlfn.IFS(D20&gt;=F12,"✓",D20&lt;0,"▲", D20&lt;F12,"⚠")</f>
        <v>#VALUE!</v>
      </c>
      <c r="F20" s="491"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c r="A21" s="25"/>
      <c r="B21" s="985"/>
      <c r="C21" s="529" t="s">
        <v>282</v>
      </c>
      <c r="D21" s="530">
        <f>'7. Watercourses'!P5</f>
        <v>0</v>
      </c>
      <c r="E21" s="531" t="e">
        <f t="array" ref="E21">_xlfn.IFS(D21&gt;=F13,"✓",D21&lt;0,"▲", D21&lt;F13,"⚠")</f>
        <v>#VALUE!</v>
      </c>
      <c r="F21" s="491" t="e">
        <f t="shared" si="0"/>
        <v>#VALUE!</v>
      </c>
      <c r="G21" s="29"/>
      <c r="H21" s="29"/>
      <c r="I21" s="29"/>
      <c r="J21" s="29"/>
      <c r="K21" s="29"/>
      <c r="L21" s="29"/>
      <c r="M21" s="29"/>
      <c r="N21" s="29"/>
      <c r="O21" s="29"/>
      <c r="P21" s="29"/>
      <c r="Q21" s="54"/>
      <c r="R21" s="29"/>
      <c r="S21" s="52"/>
      <c r="T21" s="52"/>
      <c r="U21" s="52"/>
      <c r="V21" s="52"/>
      <c r="W21" s="52"/>
      <c r="X21" s="25"/>
    </row>
    <row r="22" spans="1:24" ht="24.6" customHeight="1">
      <c r="A22" s="25"/>
      <c r="B22" s="27"/>
      <c r="C22" s="146"/>
      <c r="D22" s="40"/>
      <c r="E22" s="40"/>
      <c r="F22" s="489"/>
      <c r="G22" s="29"/>
      <c r="H22" s="29"/>
      <c r="I22" s="29"/>
      <c r="J22" s="29"/>
      <c r="K22" s="29"/>
      <c r="L22" s="29"/>
      <c r="M22" s="29"/>
      <c r="N22" s="29"/>
      <c r="O22" s="29"/>
      <c r="P22" s="29"/>
      <c r="Q22" s="54"/>
      <c r="R22" s="29"/>
      <c r="S22" s="52"/>
      <c r="T22" s="52"/>
      <c r="U22" s="52"/>
      <c r="V22" s="52"/>
      <c r="W22" s="52"/>
      <c r="X22" s="25"/>
    </row>
    <row r="23" spans="1:24" ht="24.6" customHeight="1">
      <c r="A23" s="25"/>
      <c r="B23" s="792" t="s">
        <v>286</v>
      </c>
      <c r="C23" s="527" t="s">
        <v>280</v>
      </c>
      <c r="D23" s="536">
        <f>IF(D11="Zero Units Baseline","% target not appropriate",D19/D11)</f>
        <v>0.49480105385846668</v>
      </c>
      <c r="E23" s="537" t="str">
        <f t="array" ref="E23">_xlfn.IFS(D23&gt;=F19,"✓",D23&lt;0,"▲", D23&lt;F19,"⚠")</f>
        <v>✓</v>
      </c>
      <c r="F23" s="489">
        <f>$D$23*100</f>
        <v>49.48010538584667</v>
      </c>
      <c r="G23" s="29"/>
      <c r="H23" s="29"/>
      <c r="I23" s="29"/>
      <c r="J23" s="29"/>
      <c r="K23" s="29"/>
      <c r="L23" s="29"/>
      <c r="M23" s="29"/>
      <c r="N23" s="29"/>
      <c r="O23" s="29"/>
      <c r="P23" s="29"/>
      <c r="Q23" s="54"/>
      <c r="R23" s="29"/>
      <c r="S23" s="52"/>
      <c r="T23" s="52"/>
      <c r="U23" s="52"/>
      <c r="V23" s="52"/>
      <c r="W23" s="52"/>
      <c r="X23" s="25"/>
    </row>
    <row r="24" spans="1:24" ht="24.6" customHeight="1">
      <c r="A24" s="25"/>
      <c r="B24" s="995"/>
      <c r="C24" s="528" t="s">
        <v>281</v>
      </c>
      <c r="D24" s="538" t="str">
        <f>IF(D12="Zero Units Baseline","% target not appropriate",D20/D12)</f>
        <v>% target not appropriate</v>
      </c>
      <c r="E24" s="539" t="e">
        <f t="array" ref="E24">_xlfn.IFS(D24&gt;=F20,"✓",D24&lt;0,"▲", D24&lt;F20,"⚠")</f>
        <v>#VALUE!</v>
      </c>
      <c r="F24" s="489" t="e">
        <f>$D$24*100</f>
        <v>#VALUE!</v>
      </c>
      <c r="G24" s="29"/>
      <c r="H24" s="29"/>
      <c r="I24" s="29"/>
      <c r="J24" s="29"/>
      <c r="K24" s="29"/>
      <c r="L24" s="29"/>
      <c r="M24" s="29"/>
      <c r="N24" s="29"/>
      <c r="O24" s="29"/>
      <c r="P24" s="29"/>
      <c r="Q24" s="54"/>
      <c r="R24" s="29"/>
      <c r="S24" s="52"/>
      <c r="T24" s="52"/>
      <c r="U24" s="52"/>
      <c r="V24" s="52"/>
      <c r="W24" s="52"/>
      <c r="X24" s="25"/>
    </row>
    <row r="25" spans="1:24" ht="24.6" customHeight="1">
      <c r="A25" s="25"/>
      <c r="B25" s="996"/>
      <c r="C25" s="529" t="s">
        <v>282</v>
      </c>
      <c r="D25" s="540" t="str">
        <f>IF(D13="Zero Units Baseline","% target not appropriate",D21/D13)</f>
        <v>% target not appropriate</v>
      </c>
      <c r="E25" s="541" t="e">
        <f t="array" ref="E25">_xlfn.IFS(D25&gt;=F21,"✓",D25&lt;0,"▲", D25&lt;F21,"⚠")</f>
        <v>#VALUE!</v>
      </c>
      <c r="F25" s="489" t="e">
        <f>$D$25*100</f>
        <v>#VALUE!</v>
      </c>
      <c r="G25" s="29"/>
      <c r="H25" s="29"/>
      <c r="I25" s="29"/>
      <c r="J25" s="29"/>
      <c r="K25" s="29"/>
      <c r="L25" s="29"/>
      <c r="M25" s="29"/>
      <c r="N25" s="29"/>
      <c r="O25" s="29"/>
      <c r="P25" s="29"/>
      <c r="Q25" s="54"/>
      <c r="R25" s="29"/>
      <c r="S25" s="52"/>
      <c r="T25" s="52"/>
      <c r="U25" s="52"/>
      <c r="V25" s="52"/>
      <c r="W25" s="52"/>
      <c r="X25" s="25"/>
    </row>
    <row r="26" spans="1:24" ht="24.6" customHeight="1">
      <c r="A26" s="25"/>
      <c r="B26" s="25"/>
      <c r="C26" s="25"/>
      <c r="D26" s="164"/>
      <c r="E26" s="164"/>
      <c r="F26" s="489"/>
      <c r="G26" s="29"/>
      <c r="H26" s="29"/>
      <c r="I26" s="29"/>
      <c r="J26" s="29"/>
      <c r="K26" s="29"/>
      <c r="L26" s="29"/>
      <c r="M26" s="29"/>
      <c r="N26" s="29"/>
      <c r="O26" s="29"/>
      <c r="P26" s="29"/>
      <c r="Q26" s="54"/>
      <c r="R26" s="29"/>
      <c r="S26" s="52"/>
      <c r="T26" s="52"/>
      <c r="U26" s="52"/>
      <c r="V26" s="52"/>
      <c r="W26" s="52"/>
      <c r="X26" s="25"/>
    </row>
    <row r="27" spans="1:24" ht="24.6" customHeight="1">
      <c r="A27" s="25"/>
      <c r="B27" s="1001" t="s">
        <v>287</v>
      </c>
      <c r="C27" s="1002"/>
      <c r="D27" s="1004">
        <f>IFERROR(IF(D11="Zero Units Baseline",IF('2. Site Details'!D17&lt;=D15,0,'2. Site Details'!D17-D15),(IF((D11*(1+('2. Site Details'!D13/100)))-D15&lt;0,0,F15-D15))),"")</f>
        <v>0</v>
      </c>
      <c r="E27" s="1005"/>
      <c r="F27" s="489"/>
      <c r="G27" s="29"/>
      <c r="H27" s="29"/>
      <c r="I27" s="29"/>
      <c r="J27" s="29"/>
      <c r="K27" s="29"/>
      <c r="L27" s="29"/>
      <c r="M27" s="29"/>
      <c r="N27" s="29"/>
      <c r="O27" s="29"/>
      <c r="P27" s="29"/>
      <c r="Q27" s="54"/>
      <c r="R27" s="29"/>
      <c r="S27" s="52"/>
      <c r="T27" s="52"/>
      <c r="U27" s="52"/>
      <c r="V27" s="52"/>
      <c r="W27" s="52"/>
      <c r="X27" s="25"/>
    </row>
    <row r="28" spans="1:24" ht="24.6" customHeight="1">
      <c r="A28" s="25"/>
      <c r="B28" s="999" t="s">
        <v>288</v>
      </c>
      <c r="C28" s="1000"/>
      <c r="D28" s="1006">
        <f>IFERROR(IF(D12="Zero Units Baseline",IF('2. Site Details'!D18&lt;=D16,0,'2. Site Details'!D18-D16),(IF((D12*(1+('2. Site Details'!D14/100)))-D16&lt;0,0,F16-D16))),"")</f>
        <v>0</v>
      </c>
      <c r="E28" s="1007"/>
      <c r="F28" s="489"/>
      <c r="G28" s="159"/>
      <c r="H28" s="29"/>
      <c r="I28" s="29"/>
      <c r="J28" s="29"/>
      <c r="K28" s="29"/>
      <c r="L28" s="29"/>
      <c r="M28" s="29"/>
      <c r="N28" s="29"/>
      <c r="O28" s="29"/>
      <c r="P28" s="29"/>
      <c r="Q28" s="54"/>
      <c r="R28" s="29"/>
      <c r="S28" s="52"/>
      <c r="T28" s="52"/>
      <c r="U28" s="52"/>
      <c r="V28" s="52"/>
      <c r="W28" s="52"/>
      <c r="X28" s="25"/>
    </row>
    <row r="29" spans="1:24" ht="24.6" customHeight="1">
      <c r="A29" s="25"/>
      <c r="B29" s="997" t="s">
        <v>289</v>
      </c>
      <c r="C29" s="998"/>
      <c r="D29" s="1008">
        <f>IFERROR(IF(D13="Zero Units Baseline",IF('2. Site Details'!D19&lt;=D17,0,'2. Site Details'!D19-D17),(IF((D13*(1+('2. Site Details'!D15/100)))-D17&lt;0,0,F17-D17))),"")</f>
        <v>0</v>
      </c>
      <c r="E29" s="1009"/>
      <c r="F29" s="489"/>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4"/>
      <c r="E30" s="164"/>
      <c r="F30" s="489"/>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4"/>
      <c r="E31" s="164"/>
      <c r="F31" s="489"/>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4"/>
      <c r="E32" s="164"/>
      <c r="F32" s="489"/>
      <c r="G32" s="25"/>
      <c r="H32" s="29"/>
      <c r="I32" s="29"/>
      <c r="J32" s="29"/>
      <c r="K32" s="29"/>
      <c r="L32" s="29"/>
      <c r="M32" s="29"/>
      <c r="N32" s="29"/>
      <c r="O32" s="29"/>
      <c r="P32" s="29"/>
      <c r="Q32" s="54"/>
      <c r="R32" s="29"/>
      <c r="S32" s="52"/>
      <c r="T32" s="52"/>
      <c r="U32" s="52"/>
      <c r="V32" s="52"/>
      <c r="W32" s="52"/>
      <c r="X32" s="25"/>
    </row>
    <row r="33" spans="1:24" ht="23.65" customHeight="1">
      <c r="A33" s="25"/>
      <c r="B33" s="56" t="s">
        <v>290</v>
      </c>
      <c r="C33" s="25"/>
      <c r="D33" s="164"/>
      <c r="E33" s="164"/>
      <c r="F33" s="489"/>
      <c r="G33" s="29"/>
      <c r="H33" s="29"/>
      <c r="I33" s="29"/>
      <c r="J33" s="29"/>
      <c r="K33" s="29"/>
      <c r="L33" s="29"/>
      <c r="M33" s="29"/>
      <c r="N33" s="29"/>
      <c r="O33" s="29"/>
      <c r="P33" s="29"/>
      <c r="Q33" s="54"/>
      <c r="R33" s="29"/>
      <c r="S33" s="25"/>
      <c r="T33" s="25"/>
      <c r="U33" s="25"/>
      <c r="V33" s="25"/>
      <c r="W33" s="25"/>
      <c r="X33" s="25"/>
    </row>
    <row r="34" spans="1:24" s="55" customFormat="1" ht="23.65" customHeight="1">
      <c r="A34" s="29"/>
      <c r="B34" s="56"/>
      <c r="C34" s="25"/>
      <c r="D34" s="164"/>
      <c r="E34" s="164"/>
      <c r="F34" s="489"/>
      <c r="G34" s="25"/>
      <c r="H34" s="25"/>
      <c r="I34" s="25"/>
      <c r="J34" s="25"/>
      <c r="K34" s="25"/>
      <c r="L34" s="25"/>
      <c r="M34" s="25"/>
      <c r="N34" s="25"/>
      <c r="O34" s="25"/>
      <c r="P34" s="29"/>
      <c r="Q34" s="54"/>
      <c r="R34" s="29"/>
      <c r="S34" s="29"/>
      <c r="T34" s="29"/>
      <c r="U34" s="29"/>
      <c r="V34" s="29"/>
      <c r="W34" s="29"/>
      <c r="X34" s="29"/>
    </row>
    <row r="35" spans="1:24" s="55" customFormat="1" ht="23.65" customHeight="1">
      <c r="A35" s="29"/>
      <c r="B35" s="25"/>
      <c r="C35" s="25" t="s">
        <v>291</v>
      </c>
      <c r="D35" s="25" t="s">
        <v>292</v>
      </c>
      <c r="E35" s="52"/>
      <c r="F35" s="489"/>
      <c r="G35" s="25"/>
      <c r="H35" s="25"/>
      <c r="I35" s="25"/>
      <c r="J35" s="25"/>
      <c r="K35" s="25"/>
      <c r="L35" s="25"/>
      <c r="M35" s="25"/>
      <c r="N35" s="25"/>
      <c r="O35" s="25"/>
      <c r="P35" s="29"/>
      <c r="Q35" s="54"/>
      <c r="R35" s="29"/>
      <c r="S35" s="29"/>
      <c r="T35" s="29"/>
      <c r="U35" s="29"/>
      <c r="V35" s="29"/>
      <c r="W35" s="29"/>
      <c r="X35" s="29"/>
    </row>
    <row r="36" spans="1:24" ht="23.65" customHeight="1">
      <c r="A36" s="25"/>
      <c r="B36" s="380" t="s">
        <v>293</v>
      </c>
      <c r="C36" s="51">
        <f>IF(D11="Zero Units Baseline",0,D11)</f>
        <v>2.5464519999999999</v>
      </c>
      <c r="D36" s="51">
        <f>D15</f>
        <v>3.8064391332</v>
      </c>
      <c r="E36" s="52"/>
      <c r="F36" s="489"/>
      <c r="G36" s="25"/>
      <c r="H36" s="25"/>
      <c r="I36" s="25"/>
      <c r="J36" s="25"/>
      <c r="K36" s="25"/>
      <c r="L36" s="25"/>
      <c r="M36" s="25"/>
      <c r="N36" s="25"/>
      <c r="O36" s="25"/>
      <c r="P36" s="25"/>
      <c r="Q36" s="54"/>
      <c r="R36" s="29"/>
      <c r="S36" s="29"/>
      <c r="T36" s="29"/>
      <c r="U36" s="29"/>
      <c r="V36" s="29"/>
      <c r="W36" s="29"/>
      <c r="X36" s="25"/>
    </row>
    <row r="37" spans="1:24" ht="23.65" customHeight="1">
      <c r="A37" s="25"/>
      <c r="B37" s="380" t="s">
        <v>281</v>
      </c>
      <c r="C37" s="51">
        <f t="shared" ref="C37:C38" si="1">IF(D12="Zero Units Baseline",0,D12)</f>
        <v>0</v>
      </c>
      <c r="D37" s="51">
        <f t="shared" ref="D37:D38" si="2">D16</f>
        <v>0.21229999999999999</v>
      </c>
      <c r="E37" s="52"/>
      <c r="F37" s="489"/>
      <c r="G37" s="25"/>
      <c r="H37" s="25"/>
      <c r="I37" s="25"/>
      <c r="J37" s="25"/>
      <c r="K37" s="25"/>
      <c r="L37" s="25"/>
      <c r="M37" s="25"/>
      <c r="N37" s="25"/>
      <c r="O37" s="25"/>
      <c r="P37" s="25"/>
      <c r="Q37" s="54"/>
      <c r="R37" s="29"/>
      <c r="S37" s="29"/>
      <c r="T37" s="29"/>
      <c r="U37" s="29"/>
      <c r="V37" s="29"/>
      <c r="W37" s="29"/>
      <c r="X37" s="25"/>
    </row>
    <row r="38" spans="1:24" ht="23.65" customHeight="1">
      <c r="A38" s="25"/>
      <c r="B38" s="380" t="s">
        <v>294</v>
      </c>
      <c r="C38" s="51">
        <f t="shared" si="1"/>
        <v>0</v>
      </c>
      <c r="D38" s="51">
        <f t="shared" si="2"/>
        <v>0</v>
      </c>
      <c r="E38" s="52"/>
      <c r="F38" s="489"/>
      <c r="G38" s="25"/>
      <c r="H38" s="25"/>
      <c r="I38" s="25"/>
      <c r="J38" s="25"/>
      <c r="K38" s="25"/>
      <c r="L38" s="25"/>
      <c r="M38" s="25"/>
      <c r="N38" s="25"/>
      <c r="O38" s="25"/>
      <c r="P38" s="25"/>
      <c r="Q38" s="54"/>
      <c r="R38" s="29"/>
      <c r="S38" s="29"/>
      <c r="T38" s="29"/>
      <c r="U38" s="29"/>
      <c r="V38" s="29"/>
      <c r="W38" s="29"/>
      <c r="X38" s="25"/>
    </row>
    <row r="39" spans="1:24" ht="23.65" customHeight="1">
      <c r="A39" s="25"/>
      <c r="B39" s="56"/>
      <c r="C39" s="25"/>
      <c r="D39" s="164"/>
      <c r="E39" s="164"/>
      <c r="F39" s="489"/>
      <c r="G39" s="25"/>
      <c r="H39" s="25"/>
      <c r="I39" s="25"/>
      <c r="J39" s="25"/>
      <c r="K39" s="25"/>
      <c r="L39" s="25"/>
      <c r="M39" s="25"/>
      <c r="N39" s="25"/>
      <c r="O39" s="25"/>
      <c r="P39" s="25"/>
      <c r="Q39" s="54"/>
      <c r="R39" s="29"/>
      <c r="S39" s="29"/>
      <c r="T39" s="29"/>
      <c r="U39" s="29"/>
      <c r="V39" s="29"/>
      <c r="W39" s="29"/>
      <c r="X39" s="25"/>
    </row>
    <row r="40" spans="1:24" ht="23.65" customHeight="1">
      <c r="A40" s="25"/>
      <c r="B40" s="56"/>
      <c r="C40" s="25"/>
      <c r="D40" s="164"/>
      <c r="E40" s="164"/>
      <c r="F40" s="489"/>
      <c r="G40" s="25"/>
      <c r="H40" s="25"/>
      <c r="I40" s="25"/>
      <c r="J40" s="25"/>
      <c r="K40" s="25"/>
      <c r="L40" s="25"/>
      <c r="M40" s="25"/>
      <c r="N40" s="25"/>
      <c r="O40" s="25"/>
      <c r="P40" s="25"/>
      <c r="Q40" s="54"/>
      <c r="R40" s="29"/>
      <c r="S40" s="29"/>
      <c r="T40" s="29"/>
      <c r="U40" s="29"/>
      <c r="V40" s="29"/>
      <c r="W40" s="29"/>
      <c r="X40" s="25"/>
    </row>
    <row r="41" spans="1:24" ht="23.65" customHeight="1">
      <c r="A41" s="25"/>
      <c r="B41" s="56"/>
      <c r="C41" s="25"/>
      <c r="D41" s="164"/>
      <c r="E41" s="164"/>
      <c r="F41" s="489"/>
      <c r="G41" s="25"/>
      <c r="H41" s="25"/>
      <c r="I41" s="25"/>
      <c r="J41" s="25"/>
      <c r="K41" s="25"/>
      <c r="L41" s="25"/>
      <c r="M41" s="25"/>
      <c r="N41" s="25"/>
      <c r="O41" s="25"/>
      <c r="P41" s="25"/>
      <c r="Q41" s="54"/>
      <c r="R41" s="29"/>
      <c r="S41" s="29"/>
      <c r="T41" s="29"/>
      <c r="U41" s="29"/>
      <c r="V41" s="29"/>
      <c r="W41" s="29"/>
      <c r="X41" s="25"/>
    </row>
    <row r="42" spans="1:24" ht="23.65" customHeight="1">
      <c r="A42" s="25"/>
      <c r="B42" s="56"/>
      <c r="C42" s="25"/>
      <c r="D42" s="164"/>
      <c r="E42" s="164"/>
      <c r="F42" s="489"/>
      <c r="G42" s="27"/>
      <c r="H42" s="27"/>
      <c r="I42" s="27"/>
      <c r="J42" s="27"/>
      <c r="K42" s="27"/>
      <c r="L42" s="27"/>
      <c r="M42" s="28"/>
      <c r="N42" s="28"/>
      <c r="O42" s="25"/>
      <c r="P42" s="25"/>
      <c r="Q42" s="54"/>
      <c r="R42" s="29"/>
      <c r="S42" s="29"/>
      <c r="T42" s="29"/>
      <c r="U42" s="29"/>
      <c r="V42" s="29"/>
      <c r="W42" s="29"/>
      <c r="X42" s="25"/>
    </row>
    <row r="43" spans="1:24" ht="23.65" customHeight="1">
      <c r="A43" s="25"/>
      <c r="B43" s="56"/>
      <c r="C43" s="25"/>
      <c r="D43" s="164"/>
      <c r="E43" s="164"/>
      <c r="F43" s="489"/>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4"/>
      <c r="E44" s="164"/>
      <c r="F44" s="489"/>
      <c r="G44" s="25"/>
      <c r="H44" s="25"/>
      <c r="I44" s="25"/>
      <c r="J44" s="25"/>
      <c r="K44" s="25"/>
      <c r="L44" s="25"/>
      <c r="M44" s="25"/>
      <c r="N44" s="25"/>
      <c r="O44" s="25"/>
      <c r="P44" s="25"/>
      <c r="Q44" s="25"/>
      <c r="R44" s="25"/>
      <c r="S44" s="25"/>
      <c r="T44" s="25"/>
      <c r="U44" s="25"/>
      <c r="V44" s="25"/>
      <c r="W44" s="25"/>
      <c r="X44" s="25"/>
    </row>
    <row r="45" spans="1:24" ht="21">
      <c r="A45" s="25"/>
      <c r="B45" s="56"/>
      <c r="C45" s="25"/>
      <c r="D45" s="164"/>
      <c r="E45" s="164"/>
      <c r="F45" s="489"/>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4"/>
      <c r="E46" s="164"/>
      <c r="F46" s="489"/>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4"/>
      <c r="E47" s="164"/>
      <c r="F47" s="489"/>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4"/>
      <c r="E48" s="164"/>
      <c r="F48" s="489"/>
      <c r="G48" s="56"/>
      <c r="H48" s="29"/>
      <c r="I48" s="29"/>
      <c r="J48" s="29"/>
      <c r="K48" s="29"/>
      <c r="L48" s="29"/>
      <c r="M48" s="29"/>
      <c r="N48" s="29"/>
      <c r="O48" s="29"/>
      <c r="P48" s="29"/>
      <c r="Q48" s="29"/>
      <c r="R48" s="29"/>
      <c r="S48" s="29"/>
      <c r="T48" s="29"/>
      <c r="U48" s="29"/>
      <c r="V48" s="29"/>
      <c r="W48" s="29"/>
      <c r="X48" s="29"/>
    </row>
    <row r="49" spans="1:24" ht="23.65" customHeight="1">
      <c r="A49" s="25"/>
      <c r="B49" s="56"/>
      <c r="C49" s="25"/>
      <c r="D49" s="164"/>
      <c r="E49" s="164"/>
      <c r="F49" s="489"/>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89"/>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89"/>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2"/>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2"/>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2"/>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2"/>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2"/>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2"/>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2"/>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2"/>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2"/>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2"/>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2"/>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2"/>
      <c r="G63" s="56"/>
      <c r="H63" s="29"/>
      <c r="I63" s="29"/>
      <c r="J63" s="29"/>
      <c r="K63" s="29"/>
      <c r="L63" s="29"/>
      <c r="M63" s="25"/>
      <c r="N63" s="25"/>
      <c r="O63" s="25"/>
      <c r="P63" s="25"/>
      <c r="Q63" s="25"/>
      <c r="R63" s="25"/>
      <c r="S63" s="25"/>
      <c r="T63" s="25"/>
      <c r="U63" s="25"/>
      <c r="V63" s="25"/>
      <c r="W63" s="25"/>
      <c r="X63" s="25"/>
    </row>
    <row r="64" spans="1:24" ht="14.65" hidden="1" customHeight="1">
      <c r="A64" s="25"/>
      <c r="B64" s="25"/>
      <c r="C64" s="29"/>
      <c r="D64" s="29"/>
      <c r="E64" s="29"/>
      <c r="F64" s="488"/>
      <c r="G64" s="128"/>
      <c r="H64" s="128"/>
      <c r="I64" s="128"/>
      <c r="J64" s="128"/>
      <c r="K64" s="25"/>
      <c r="L64" s="25"/>
      <c r="M64" s="25"/>
      <c r="N64" s="25"/>
      <c r="O64" s="25"/>
      <c r="P64" s="25"/>
      <c r="Q64" s="25"/>
      <c r="R64" s="25"/>
      <c r="S64" s="25"/>
      <c r="T64" s="25"/>
      <c r="U64" s="25"/>
      <c r="V64" s="25"/>
      <c r="W64" s="25"/>
      <c r="X64" s="25"/>
    </row>
    <row r="65" spans="1:24" ht="14.65" hidden="1" customHeight="1">
      <c r="A65" s="25"/>
      <c r="B65" s="992" t="s">
        <v>295</v>
      </c>
      <c r="C65" s="158">
        <v>26000</v>
      </c>
      <c r="D65" s="29"/>
      <c r="E65" s="29"/>
      <c r="F65" s="488"/>
      <c r="G65" s="128"/>
      <c r="H65" s="128"/>
      <c r="I65" s="128"/>
      <c r="J65" s="128"/>
      <c r="K65" s="25"/>
      <c r="L65" s="25"/>
      <c r="M65" s="25"/>
      <c r="N65" s="25"/>
      <c r="O65" s="25"/>
      <c r="P65" s="25"/>
      <c r="Q65" s="25"/>
      <c r="R65" s="25"/>
      <c r="S65" s="25"/>
      <c r="T65" s="25"/>
      <c r="U65" s="25"/>
      <c r="V65" s="25"/>
      <c r="W65" s="25"/>
      <c r="X65" s="25"/>
    </row>
    <row r="66" spans="1:24" ht="14.65" hidden="1" customHeight="1">
      <c r="A66" s="25"/>
      <c r="B66" s="992"/>
      <c r="C66" s="157"/>
      <c r="D66" s="25"/>
      <c r="E66" s="25"/>
      <c r="F66" s="488"/>
      <c r="G66" s="128"/>
      <c r="H66" s="128"/>
      <c r="I66" s="128"/>
      <c r="J66" s="128"/>
      <c r="K66" s="25"/>
      <c r="L66" s="25"/>
      <c r="M66" s="25"/>
      <c r="N66" s="25"/>
      <c r="O66" s="25"/>
      <c r="P66" s="25"/>
      <c r="Q66" s="25"/>
      <c r="R66" s="25"/>
      <c r="S66" s="25"/>
      <c r="T66" s="25"/>
      <c r="U66" s="25"/>
      <c r="V66" s="25"/>
      <c r="W66" s="25"/>
      <c r="X66" s="25"/>
    </row>
    <row r="67" spans="1:24" ht="14.65" hidden="1" customHeight="1">
      <c r="A67" s="25"/>
      <c r="B67" s="993"/>
      <c r="C67" s="25"/>
      <c r="D67" s="25"/>
      <c r="E67" s="25"/>
      <c r="F67" s="488"/>
      <c r="G67" s="128"/>
      <c r="H67" s="128"/>
      <c r="I67" s="128"/>
      <c r="J67" s="128"/>
      <c r="K67" s="25"/>
      <c r="L67" s="25"/>
      <c r="M67" s="25"/>
      <c r="N67" s="25"/>
      <c r="O67" s="25"/>
      <c r="P67" s="25"/>
      <c r="Q67" s="25"/>
      <c r="R67" s="25"/>
      <c r="S67" s="25"/>
      <c r="T67" s="25"/>
      <c r="U67" s="25"/>
      <c r="V67" s="25"/>
      <c r="W67" s="25"/>
      <c r="X67" s="25"/>
    </row>
    <row r="68" spans="1:24" ht="14.65" hidden="1" customHeight="1">
      <c r="A68" s="25"/>
      <c r="B68" s="993"/>
      <c r="C68" s="25"/>
      <c r="D68" s="25"/>
      <c r="E68" s="25"/>
      <c r="F68" s="488"/>
      <c r="G68" s="128"/>
      <c r="H68" s="128"/>
      <c r="I68" s="128"/>
      <c r="J68" s="128"/>
      <c r="K68" s="25"/>
      <c r="L68" s="25"/>
      <c r="M68" s="25"/>
      <c r="N68" s="25"/>
      <c r="O68" s="25"/>
      <c r="P68" s="25"/>
      <c r="Q68" s="25"/>
      <c r="R68" s="25"/>
      <c r="S68" s="25"/>
      <c r="T68" s="25"/>
      <c r="U68" s="25"/>
      <c r="V68" s="25"/>
      <c r="W68" s="25"/>
      <c r="X68" s="25"/>
    </row>
    <row r="69" spans="1:24" ht="14.65" hidden="1" customHeight="1">
      <c r="A69" s="25"/>
      <c r="B69" s="25"/>
      <c r="C69" s="25"/>
      <c r="D69" s="25"/>
      <c r="E69" s="25"/>
      <c r="F69" s="488"/>
      <c r="G69" s="128"/>
      <c r="H69" s="128"/>
      <c r="I69" s="128"/>
      <c r="J69" s="128"/>
      <c r="K69" s="25"/>
      <c r="L69" s="25"/>
      <c r="M69" s="25"/>
      <c r="N69" s="25"/>
      <c r="O69" s="25"/>
      <c r="P69" s="25"/>
      <c r="Q69" s="25"/>
      <c r="R69" s="25"/>
      <c r="S69" s="25"/>
      <c r="T69" s="25"/>
      <c r="U69" s="25"/>
      <c r="V69" s="25"/>
      <c r="W69" s="25"/>
      <c r="X69" s="25"/>
    </row>
    <row r="70" spans="1:24" ht="14.65" hidden="1" customHeight="1">
      <c r="A70" s="25"/>
      <c r="B70" s="25"/>
      <c r="C70" s="25"/>
      <c r="D70" s="25"/>
      <c r="E70" s="25"/>
      <c r="F70" s="488"/>
      <c r="G70" s="128"/>
      <c r="H70" s="128"/>
      <c r="I70" s="128"/>
      <c r="J70" s="128"/>
      <c r="K70" s="25"/>
      <c r="L70" s="25"/>
      <c r="M70" s="25"/>
      <c r="N70" s="25"/>
      <c r="O70" s="25"/>
      <c r="P70" s="25"/>
      <c r="Q70" s="25"/>
      <c r="R70" s="25"/>
      <c r="S70" s="25"/>
      <c r="T70" s="25"/>
      <c r="U70" s="25"/>
      <c r="V70" s="25"/>
      <c r="W70" s="25"/>
      <c r="X70" s="25"/>
    </row>
    <row r="71" spans="1:24" ht="14.65" hidden="1" customHeight="1"/>
    <row r="72" spans="1:24" ht="14.65" hidden="1" customHeight="1"/>
    <row r="73" spans="1:24" ht="14.65" hidden="1" customHeight="1"/>
    <row r="74" spans="1:24" ht="14.65" hidden="1" customHeight="1"/>
  </sheetData>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 operator="containsText" id="{00000000-000E-0000-0700-000001000000}">
            <xm:f>NOT(ISERROR(SEARCH("⚠",D9)))</xm:f>
            <x14:dxf>
              <font>
                <color auto="1"/>
              </font>
              <fill>
                <patternFill>
                  <bgColor rgb="FFFFC000"/>
                </patternFill>
              </fill>
            </x14:dxf>
          </x14:cfRule>
          <xm:sqref>D9:E9</xm:sqref>
        </x14:conditionalFormatting>
        <x14:conditionalFormatting xmlns:xm="http://schemas.microsoft.com/office/excel/2006/main">
          <x14:cfRule type="containsText" priority="8" operator="containsText" id="{00000000-000E-0000-0700-000008000000}">
            <xm:f>NOT(ISERROR(SEARCH("⚠",E19)))</xm:f>
            <x14:dxf>
              <font>
                <color theme="1" tint="4.9989318521683403E-2"/>
              </font>
              <fill>
                <patternFill>
                  <bgColor rgb="FFFFC000"/>
                </patternFill>
              </fill>
            </x14:dxf>
          </x14:cfRule>
          <x14:cfRule type="containsText" priority="18" operator="containsText" id="{00000000-000E-0000-0700-000012000000}">
            <xm:f>NOT(ISERROR(SEARCH("✓",E19)))</xm:f>
            <x14:dxf>
              <font>
                <color theme="1"/>
              </font>
              <fill>
                <patternFill>
                  <bgColor theme="9" tint="0.39994506668294322"/>
                </patternFill>
              </fill>
            </x14:dxf>
          </x14:cfRule>
          <x14:cfRule type="containsText" priority="19" operator="containsText" id="{00000000-000E-0000-0700-000013000000}">
            <xm:f>NOT(ISERROR(SEARCH("▲",E19)))</xm:f>
            <x14:dxf>
              <font>
                <color theme="0"/>
              </font>
              <fill>
                <patternFill>
                  <bgColor rgb="FFC00000"/>
                </patternFill>
              </fill>
            </x14:dxf>
          </x14:cfRule>
          <xm:sqref>E19:E25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5E5C"/>
  </sheetPr>
  <dimension ref="A1:Y110"/>
  <sheetViews>
    <sheetView workbookViewId="0"/>
  </sheetViews>
  <sheetFormatPr defaultColWidth="0" defaultRowHeight="15"/>
  <cols>
    <col min="1" max="2" width="8.7109375" customWidth="1"/>
    <col min="3" max="3" width="78.5703125" customWidth="1"/>
    <col min="4" max="4" width="28.5703125" style="18" customWidth="1"/>
    <col min="5" max="5" width="14.42578125" hidden="1" customWidth="1"/>
    <col min="6" max="6" width="18.42578125" hidden="1" customWidth="1"/>
    <col min="7" max="7" width="15.7109375" style="18" customWidth="1"/>
    <col min="8" max="8" width="34.5703125" style="20" customWidth="1"/>
    <col min="9" max="9" width="13" customWidth="1"/>
    <col min="10" max="10" width="12.7109375" customWidth="1"/>
    <col min="11" max="11" width="23.85546875" hidden="1" customWidth="1"/>
    <col min="12" max="25" width="8.7109375" customWidth="1"/>
    <col min="26" max="16384" width="8.7109375" hidden="1"/>
  </cols>
  <sheetData>
    <row r="1" spans="1:25" ht="26.1" customHeight="1">
      <c r="A1" s="25"/>
      <c r="B1" s="1015" t="s">
        <v>296</v>
      </c>
      <c r="C1" s="1016"/>
      <c r="D1" s="1016"/>
      <c r="E1" s="1016"/>
      <c r="F1" s="1016"/>
      <c r="G1" s="1016"/>
      <c r="H1" s="1016"/>
      <c r="I1" s="1016"/>
      <c r="J1" s="1017"/>
      <c r="K1" s="218">
        <v>9</v>
      </c>
      <c r="L1" s="25"/>
      <c r="M1" s="25"/>
      <c r="N1" s="25"/>
      <c r="O1" s="25"/>
      <c r="P1" s="25"/>
      <c r="Q1" s="25"/>
      <c r="R1" s="25"/>
      <c r="S1" s="25"/>
      <c r="T1" s="25"/>
      <c r="U1" s="25"/>
      <c r="V1" s="25"/>
      <c r="W1" s="25"/>
      <c r="X1" s="25"/>
      <c r="Y1" s="25"/>
    </row>
    <row r="2" spans="1:25" ht="18.75">
      <c r="A2" s="25"/>
      <c r="B2" s="1013" t="s">
        <v>60</v>
      </c>
      <c r="C2" s="1010" t="s">
        <v>268</v>
      </c>
      <c r="D2" s="1010"/>
      <c r="E2" s="1010"/>
      <c r="F2" s="1010"/>
      <c r="G2" s="1011" t="s">
        <v>95</v>
      </c>
      <c r="H2" s="1011"/>
      <c r="I2" s="1012" t="s">
        <v>297</v>
      </c>
      <c r="J2" s="1012"/>
      <c r="K2" s="129" t="s">
        <v>298</v>
      </c>
      <c r="L2" s="25"/>
      <c r="M2" s="25"/>
      <c r="N2" s="25"/>
      <c r="O2" s="25"/>
      <c r="P2" s="25"/>
      <c r="Q2" s="25"/>
      <c r="R2" s="25"/>
      <c r="S2" s="25"/>
      <c r="T2" s="25"/>
      <c r="U2" s="25"/>
      <c r="V2" s="25"/>
      <c r="W2" s="25"/>
      <c r="X2" s="25"/>
      <c r="Y2" s="25"/>
    </row>
    <row r="3" spans="1:25" ht="60">
      <c r="A3" s="25"/>
      <c r="B3" s="1014"/>
      <c r="C3" s="130" t="s">
        <v>268</v>
      </c>
      <c r="D3" s="130" t="s">
        <v>299</v>
      </c>
      <c r="E3" s="130" t="s">
        <v>300</v>
      </c>
      <c r="F3" s="130" t="s">
        <v>301</v>
      </c>
      <c r="G3" s="275" t="s">
        <v>302</v>
      </c>
      <c r="H3" s="275" t="s">
        <v>303</v>
      </c>
      <c r="I3" s="62" t="s">
        <v>304</v>
      </c>
      <c r="J3" s="62" t="s">
        <v>305</v>
      </c>
      <c r="K3" s="131" t="s">
        <v>306</v>
      </c>
      <c r="L3" s="25"/>
      <c r="M3" s="25"/>
      <c r="N3" s="25"/>
      <c r="O3" s="25"/>
      <c r="P3" s="25"/>
      <c r="Q3" s="25"/>
      <c r="R3" s="25"/>
      <c r="S3" s="25"/>
      <c r="T3" s="25"/>
      <c r="U3" s="25"/>
      <c r="V3" s="25"/>
      <c r="W3" s="25"/>
      <c r="X3" s="25"/>
      <c r="Y3" s="25"/>
    </row>
    <row r="4" spans="1:25" ht="30">
      <c r="A4" s="25"/>
      <c r="B4" s="7">
        <v>1</v>
      </c>
      <c r="C4" s="7" t="s">
        <v>307</v>
      </c>
      <c r="D4" s="7" t="s">
        <v>211</v>
      </c>
      <c r="E4" s="7"/>
      <c r="F4" s="7"/>
      <c r="G4" s="9" t="s">
        <v>214</v>
      </c>
      <c r="H4" s="9" t="s">
        <v>308</v>
      </c>
      <c r="I4" s="9" t="s">
        <v>212</v>
      </c>
      <c r="J4" s="9" t="s">
        <v>212</v>
      </c>
      <c r="K4" s="7" t="s">
        <v>212</v>
      </c>
      <c r="L4" s="25"/>
      <c r="M4" s="25"/>
      <c r="N4" s="25"/>
      <c r="O4" s="25"/>
      <c r="P4" s="25"/>
      <c r="Q4" s="25"/>
      <c r="R4" s="25"/>
      <c r="S4" s="25"/>
      <c r="T4" s="25"/>
      <c r="U4" s="25"/>
      <c r="V4" s="25"/>
      <c r="W4" s="25"/>
      <c r="X4" s="25"/>
      <c r="Y4" s="25"/>
    </row>
    <row r="5" spans="1:25" ht="30">
      <c r="A5" s="25"/>
      <c r="B5" s="7">
        <v>2</v>
      </c>
      <c r="C5" s="7" t="s">
        <v>309</v>
      </c>
      <c r="D5" s="7" t="s">
        <v>211</v>
      </c>
      <c r="E5" s="7"/>
      <c r="F5" s="7"/>
      <c r="G5" s="9" t="s">
        <v>214</v>
      </c>
      <c r="H5" s="9" t="s">
        <v>308</v>
      </c>
      <c r="I5" s="9" t="s">
        <v>212</v>
      </c>
      <c r="J5" s="9" t="s">
        <v>212</v>
      </c>
      <c r="K5" s="7" t="s">
        <v>212</v>
      </c>
      <c r="L5" s="25"/>
      <c r="M5" s="25"/>
      <c r="N5" s="25"/>
      <c r="O5" s="25"/>
      <c r="P5" s="25"/>
      <c r="Q5" s="25"/>
      <c r="R5" s="25"/>
      <c r="S5" s="25"/>
      <c r="T5" s="25"/>
      <c r="U5" s="25"/>
      <c r="V5" s="25"/>
      <c r="W5" s="25"/>
      <c r="X5" s="25"/>
      <c r="Y5" s="25"/>
    </row>
    <row r="6" spans="1:25" ht="30">
      <c r="A6" s="25"/>
      <c r="B6" s="7">
        <v>3</v>
      </c>
      <c r="C6" s="7" t="s">
        <v>310</v>
      </c>
      <c r="D6" s="7" t="s">
        <v>211</v>
      </c>
      <c r="E6" s="7"/>
      <c r="F6" s="7"/>
      <c r="G6" s="9" t="s">
        <v>214</v>
      </c>
      <c r="H6" s="9" t="s">
        <v>308</v>
      </c>
      <c r="I6" s="9" t="s">
        <v>212</v>
      </c>
      <c r="J6" s="9" t="s">
        <v>212</v>
      </c>
      <c r="K6" s="7" t="s">
        <v>212</v>
      </c>
      <c r="L6" s="25"/>
      <c r="M6" s="25"/>
      <c r="N6" s="25"/>
      <c r="O6" s="25"/>
      <c r="P6" s="25"/>
      <c r="Q6" s="25"/>
      <c r="R6" s="25"/>
      <c r="S6" s="25"/>
      <c r="T6" s="25"/>
      <c r="U6" s="25"/>
      <c r="V6" s="25"/>
      <c r="W6" s="25"/>
      <c r="X6" s="25"/>
      <c r="Y6" s="25"/>
    </row>
    <row r="7" spans="1:25" ht="30">
      <c r="A7" s="25"/>
      <c r="B7" s="7">
        <v>4</v>
      </c>
      <c r="C7" s="7" t="s">
        <v>311</v>
      </c>
      <c r="D7" s="7" t="s">
        <v>211</v>
      </c>
      <c r="E7" s="7"/>
      <c r="F7" s="7"/>
      <c r="G7" s="9" t="s">
        <v>214</v>
      </c>
      <c r="H7" s="9" t="s">
        <v>308</v>
      </c>
      <c r="I7" s="9" t="s">
        <v>212</v>
      </c>
      <c r="J7" s="9" t="s">
        <v>212</v>
      </c>
      <c r="K7" s="7" t="s">
        <v>212</v>
      </c>
      <c r="L7" s="25"/>
      <c r="M7" s="25"/>
      <c r="N7" s="25"/>
      <c r="O7" s="25"/>
      <c r="P7" s="25"/>
      <c r="Q7" s="25"/>
      <c r="R7" s="25"/>
      <c r="S7" s="25"/>
      <c r="T7" s="25"/>
      <c r="U7" s="25"/>
      <c r="V7" s="25"/>
      <c r="W7" s="25"/>
      <c r="X7" s="25"/>
      <c r="Y7" s="25"/>
    </row>
    <row r="8" spans="1:25" ht="30">
      <c r="A8" s="25"/>
      <c r="B8" s="7">
        <v>5</v>
      </c>
      <c r="C8" s="7" t="s">
        <v>312</v>
      </c>
      <c r="D8" s="7" t="s">
        <v>211</v>
      </c>
      <c r="E8" s="7"/>
      <c r="F8" s="7"/>
      <c r="G8" s="9" t="s">
        <v>212</v>
      </c>
      <c r="H8" s="9" t="s">
        <v>313</v>
      </c>
      <c r="I8" s="9" t="s">
        <v>212</v>
      </c>
      <c r="J8" s="9" t="s">
        <v>212</v>
      </c>
      <c r="K8" s="7" t="s">
        <v>212</v>
      </c>
      <c r="L8" s="25"/>
      <c r="M8" s="25"/>
      <c r="N8" s="25"/>
      <c r="O8" s="25"/>
      <c r="P8" s="25"/>
      <c r="Q8" s="25"/>
      <c r="R8" s="25"/>
      <c r="S8" s="25"/>
      <c r="T8" s="25"/>
      <c r="U8" s="25"/>
      <c r="V8" s="25"/>
      <c r="W8" s="25"/>
      <c r="X8" s="25"/>
      <c r="Y8" s="25"/>
    </row>
    <row r="9" spans="1:25" ht="30">
      <c r="A9" s="25"/>
      <c r="B9" s="7">
        <f>B8+1</f>
        <v>6</v>
      </c>
      <c r="C9" s="7" t="s">
        <v>314</v>
      </c>
      <c r="D9" s="7" t="s">
        <v>211</v>
      </c>
      <c r="E9" s="7"/>
      <c r="F9" s="7"/>
      <c r="G9" s="9" t="s">
        <v>212</v>
      </c>
      <c r="H9" s="9" t="s">
        <v>313</v>
      </c>
      <c r="I9" s="9" t="s">
        <v>212</v>
      </c>
      <c r="J9" s="9" t="s">
        <v>212</v>
      </c>
      <c r="K9" s="7" t="s">
        <v>212</v>
      </c>
      <c r="L9" s="25"/>
      <c r="M9" s="25"/>
      <c r="N9" s="25"/>
      <c r="O9" s="25"/>
      <c r="P9" s="25"/>
      <c r="Q9" s="25"/>
      <c r="R9" s="25"/>
      <c r="S9" s="25"/>
      <c r="T9" s="25"/>
      <c r="U9" s="25"/>
      <c r="V9" s="25"/>
      <c r="W9" s="25"/>
      <c r="X9" s="25"/>
      <c r="Y9" s="25"/>
    </row>
    <row r="10" spans="1:25" ht="30">
      <c r="A10" s="25"/>
      <c r="B10" s="7">
        <f t="shared" ref="B10:B76" si="0">B9+1</f>
        <v>7</v>
      </c>
      <c r="C10" s="7" t="s">
        <v>315</v>
      </c>
      <c r="D10" s="7" t="s">
        <v>211</v>
      </c>
      <c r="E10" s="7"/>
      <c r="F10" s="7"/>
      <c r="G10" s="9" t="s">
        <v>212</v>
      </c>
      <c r="H10" s="9" t="s">
        <v>313</v>
      </c>
      <c r="I10" s="9" t="s">
        <v>212</v>
      </c>
      <c r="J10" s="9" t="s">
        <v>212</v>
      </c>
      <c r="K10" s="7" t="s">
        <v>212</v>
      </c>
      <c r="L10" s="25"/>
      <c r="M10" s="25"/>
      <c r="N10" s="25"/>
      <c r="O10" s="25"/>
      <c r="P10" s="25"/>
      <c r="Q10" s="25"/>
      <c r="R10" s="25"/>
      <c r="S10" s="25"/>
      <c r="T10" s="25"/>
      <c r="U10" s="25"/>
      <c r="V10" s="25"/>
      <c r="W10" s="25"/>
      <c r="X10" s="25"/>
      <c r="Y10" s="25"/>
    </row>
    <row r="11" spans="1:25" ht="30">
      <c r="A11" s="25"/>
      <c r="B11" s="7">
        <f t="shared" si="0"/>
        <v>8</v>
      </c>
      <c r="C11" s="7" t="s">
        <v>316</v>
      </c>
      <c r="D11" s="7" t="s">
        <v>211</v>
      </c>
      <c r="E11" s="7"/>
      <c r="F11" s="7"/>
      <c r="G11" s="9" t="s">
        <v>212</v>
      </c>
      <c r="H11" s="9" t="s">
        <v>313</v>
      </c>
      <c r="I11" s="9" t="s">
        <v>212</v>
      </c>
      <c r="J11" s="9" t="s">
        <v>212</v>
      </c>
      <c r="K11" s="7" t="s">
        <v>212</v>
      </c>
      <c r="L11" s="25"/>
      <c r="M11" s="25"/>
      <c r="N11" s="25"/>
      <c r="O11" s="25"/>
      <c r="P11" s="25"/>
      <c r="Q11" s="25"/>
      <c r="R11" s="25"/>
      <c r="S11" s="25"/>
      <c r="T11" s="25"/>
      <c r="U11" s="25"/>
      <c r="V11" s="25"/>
      <c r="W11" s="25"/>
      <c r="X11" s="25"/>
      <c r="Y11" s="25"/>
    </row>
    <row r="12" spans="1:25" ht="30">
      <c r="A12" s="25"/>
      <c r="B12" s="7">
        <f t="shared" si="0"/>
        <v>9</v>
      </c>
      <c r="C12" s="7" t="s">
        <v>317</v>
      </c>
      <c r="D12" s="7" t="s">
        <v>211</v>
      </c>
      <c r="E12" s="7"/>
      <c r="F12" s="7"/>
      <c r="G12" s="9" t="s">
        <v>212</v>
      </c>
      <c r="H12" s="9" t="s">
        <v>313</v>
      </c>
      <c r="I12" s="9" t="s">
        <v>212</v>
      </c>
      <c r="J12" s="9" t="s">
        <v>212</v>
      </c>
      <c r="K12" s="7" t="s">
        <v>212</v>
      </c>
      <c r="L12" s="25"/>
      <c r="M12" s="25"/>
      <c r="N12" s="25"/>
      <c r="O12" s="25"/>
      <c r="P12" s="25"/>
      <c r="Q12" s="25"/>
      <c r="R12" s="25"/>
      <c r="S12" s="25"/>
      <c r="T12" s="25"/>
      <c r="U12" s="25"/>
      <c r="V12" s="25"/>
      <c r="W12" s="25"/>
      <c r="X12" s="25"/>
      <c r="Y12" s="25"/>
    </row>
    <row r="13" spans="1:25" ht="30">
      <c r="A13" s="25"/>
      <c r="B13" s="7">
        <f t="shared" si="0"/>
        <v>10</v>
      </c>
      <c r="C13" s="7" t="s">
        <v>318</v>
      </c>
      <c r="D13" s="7" t="s">
        <v>211</v>
      </c>
      <c r="E13" s="7"/>
      <c r="F13" s="7"/>
      <c r="G13" s="9" t="s">
        <v>212</v>
      </c>
      <c r="H13" s="9" t="s">
        <v>313</v>
      </c>
      <c r="I13" s="9" t="s">
        <v>212</v>
      </c>
      <c r="J13" s="9" t="s">
        <v>212</v>
      </c>
      <c r="K13" s="7" t="s">
        <v>212</v>
      </c>
      <c r="L13" s="25"/>
      <c r="M13" s="25"/>
      <c r="N13" s="25"/>
      <c r="O13" s="25"/>
      <c r="P13" s="25"/>
      <c r="Q13" s="25"/>
      <c r="R13" s="25"/>
      <c r="S13" s="25"/>
      <c r="T13" s="25"/>
      <c r="U13" s="25"/>
      <c r="V13" s="25"/>
      <c r="W13" s="25"/>
      <c r="X13" s="25"/>
      <c r="Y13" s="25"/>
    </row>
    <row r="14" spans="1:25" ht="30">
      <c r="A14" s="25"/>
      <c r="B14" s="7">
        <f t="shared" si="0"/>
        <v>11</v>
      </c>
      <c r="C14" s="7" t="s">
        <v>319</v>
      </c>
      <c r="D14" s="7" t="s">
        <v>215</v>
      </c>
      <c r="E14" s="7"/>
      <c r="F14" s="7"/>
      <c r="G14" s="9" t="s">
        <v>212</v>
      </c>
      <c r="H14" s="9" t="s">
        <v>313</v>
      </c>
      <c r="I14" s="9" t="s">
        <v>212</v>
      </c>
      <c r="J14" s="9" t="s">
        <v>212</v>
      </c>
      <c r="K14" s="7" t="s">
        <v>212</v>
      </c>
      <c r="L14" s="25"/>
      <c r="M14" s="25"/>
      <c r="N14" s="25"/>
      <c r="O14" s="25"/>
      <c r="P14" s="25"/>
      <c r="Q14" s="25"/>
      <c r="R14" s="25"/>
      <c r="S14" s="25"/>
      <c r="T14" s="25"/>
      <c r="U14" s="25"/>
      <c r="V14" s="25"/>
      <c r="W14" s="25"/>
      <c r="X14" s="25"/>
      <c r="Y14" s="25"/>
    </row>
    <row r="15" spans="1:25" ht="30">
      <c r="A15" s="25"/>
      <c r="B15" s="7">
        <f t="shared" si="0"/>
        <v>12</v>
      </c>
      <c r="C15" s="7" t="s">
        <v>320</v>
      </c>
      <c r="D15" s="7" t="s">
        <v>215</v>
      </c>
      <c r="E15" s="7"/>
      <c r="F15" s="7"/>
      <c r="G15" s="9" t="s">
        <v>212</v>
      </c>
      <c r="H15" s="9" t="s">
        <v>313</v>
      </c>
      <c r="I15" s="9" t="s">
        <v>212</v>
      </c>
      <c r="J15" s="9" t="s">
        <v>212</v>
      </c>
      <c r="K15" s="7" t="s">
        <v>212</v>
      </c>
      <c r="L15" s="25"/>
      <c r="M15" s="25"/>
      <c r="N15" s="25"/>
      <c r="O15" s="25"/>
      <c r="P15" s="25"/>
      <c r="Q15" s="25"/>
      <c r="R15" s="25"/>
      <c r="S15" s="25"/>
      <c r="T15" s="25"/>
      <c r="U15" s="25"/>
      <c r="V15" s="25"/>
      <c r="W15" s="25"/>
      <c r="X15" s="25"/>
      <c r="Y15" s="25"/>
    </row>
    <row r="16" spans="1:25" ht="30">
      <c r="A16" s="25"/>
      <c r="B16" s="7">
        <f t="shared" si="0"/>
        <v>13</v>
      </c>
      <c r="C16" s="7" t="s">
        <v>321</v>
      </c>
      <c r="D16" s="7" t="s">
        <v>215</v>
      </c>
      <c r="E16" s="7"/>
      <c r="F16" s="7"/>
      <c r="G16" s="9" t="s">
        <v>214</v>
      </c>
      <c r="H16" s="9" t="s">
        <v>308</v>
      </c>
      <c r="I16" s="9" t="s">
        <v>212</v>
      </c>
      <c r="J16" s="9" t="s">
        <v>212</v>
      </c>
      <c r="K16" s="7" t="s">
        <v>212</v>
      </c>
      <c r="L16" s="25"/>
      <c r="M16" s="25"/>
      <c r="N16" s="25"/>
      <c r="O16" s="25"/>
      <c r="P16" s="25"/>
      <c r="Q16" s="25"/>
      <c r="R16" s="25"/>
      <c r="S16" s="25"/>
      <c r="T16" s="25"/>
      <c r="U16" s="25"/>
      <c r="V16" s="25"/>
      <c r="W16" s="25"/>
      <c r="X16" s="25"/>
      <c r="Y16" s="25"/>
    </row>
    <row r="17" spans="1:25" ht="30">
      <c r="A17" s="25"/>
      <c r="B17" s="7">
        <f t="shared" si="0"/>
        <v>14</v>
      </c>
      <c r="C17" s="7" t="s">
        <v>322</v>
      </c>
      <c r="D17" s="7" t="s">
        <v>215</v>
      </c>
      <c r="E17" s="7"/>
      <c r="F17" s="7"/>
      <c r="G17" s="9" t="s">
        <v>214</v>
      </c>
      <c r="H17" s="9" t="s">
        <v>308</v>
      </c>
      <c r="I17" s="9" t="s">
        <v>212</v>
      </c>
      <c r="J17" s="9" t="s">
        <v>212</v>
      </c>
      <c r="K17" s="7" t="s">
        <v>212</v>
      </c>
      <c r="L17" s="25"/>
      <c r="M17" s="25"/>
      <c r="N17" s="25"/>
      <c r="O17" s="25"/>
      <c r="P17" s="25"/>
      <c r="Q17" s="25"/>
      <c r="R17" s="25"/>
      <c r="S17" s="25"/>
      <c r="T17" s="25"/>
      <c r="U17" s="25"/>
      <c r="V17" s="25"/>
      <c r="W17" s="25"/>
      <c r="X17" s="25"/>
      <c r="Y17" s="25"/>
    </row>
    <row r="18" spans="1:25" ht="30">
      <c r="A18" s="25"/>
      <c r="B18" s="7">
        <f t="shared" si="0"/>
        <v>15</v>
      </c>
      <c r="C18" s="7" t="s">
        <v>323</v>
      </c>
      <c r="D18" s="7" t="s">
        <v>215</v>
      </c>
      <c r="E18" s="7"/>
      <c r="F18" s="7"/>
      <c r="G18" s="9" t="s">
        <v>214</v>
      </c>
      <c r="H18" s="9" t="s">
        <v>308</v>
      </c>
      <c r="I18" s="9" t="s">
        <v>212</v>
      </c>
      <c r="J18" s="9" t="s">
        <v>212</v>
      </c>
      <c r="K18" s="7" t="s">
        <v>212</v>
      </c>
      <c r="L18" s="25"/>
      <c r="M18" s="25"/>
      <c r="N18" s="25"/>
      <c r="O18" s="25"/>
      <c r="P18" s="25"/>
      <c r="Q18" s="25"/>
      <c r="R18" s="25"/>
      <c r="S18" s="25"/>
      <c r="T18" s="25"/>
      <c r="U18" s="25"/>
      <c r="V18" s="25"/>
      <c r="W18" s="25"/>
      <c r="X18" s="25"/>
      <c r="Y18" s="25"/>
    </row>
    <row r="19" spans="1:25" ht="30">
      <c r="A19" s="25"/>
      <c r="B19" s="7">
        <f t="shared" si="0"/>
        <v>16</v>
      </c>
      <c r="C19" s="7" t="s">
        <v>324</v>
      </c>
      <c r="D19" s="7" t="s">
        <v>216</v>
      </c>
      <c r="E19" s="7"/>
      <c r="F19" s="7"/>
      <c r="G19" s="9" t="s">
        <v>214</v>
      </c>
      <c r="H19" s="9" t="s">
        <v>308</v>
      </c>
      <c r="I19" s="9" t="s">
        <v>212</v>
      </c>
      <c r="J19" s="9" t="s">
        <v>212</v>
      </c>
      <c r="K19" s="7" t="s">
        <v>212</v>
      </c>
      <c r="L19" s="25"/>
      <c r="M19" s="25"/>
      <c r="N19" s="25"/>
      <c r="O19" s="25"/>
      <c r="P19" s="25"/>
      <c r="Q19" s="25"/>
      <c r="R19" s="25"/>
      <c r="S19" s="25"/>
      <c r="T19" s="25"/>
      <c r="U19" s="25"/>
      <c r="V19" s="25"/>
      <c r="W19" s="25"/>
      <c r="X19" s="25"/>
      <c r="Y19" s="25"/>
    </row>
    <row r="20" spans="1:25" ht="30">
      <c r="A20" s="25"/>
      <c r="B20" s="7">
        <f t="shared" si="0"/>
        <v>17</v>
      </c>
      <c r="C20" s="7" t="s">
        <v>325</v>
      </c>
      <c r="D20" s="7" t="s">
        <v>216</v>
      </c>
      <c r="E20" s="7"/>
      <c r="F20" s="7"/>
      <c r="G20" s="9" t="s">
        <v>214</v>
      </c>
      <c r="H20" s="9" t="s">
        <v>308</v>
      </c>
      <c r="I20" s="9" t="s">
        <v>212</v>
      </c>
      <c r="J20" s="9" t="s">
        <v>212</v>
      </c>
      <c r="K20" s="7" t="s">
        <v>212</v>
      </c>
      <c r="L20" s="25"/>
      <c r="M20" s="25"/>
      <c r="N20" s="25"/>
      <c r="O20" s="25"/>
      <c r="P20" s="25"/>
      <c r="Q20" s="25"/>
      <c r="R20" s="25"/>
      <c r="S20" s="25"/>
      <c r="T20" s="25"/>
      <c r="U20" s="25"/>
      <c r="V20" s="25"/>
      <c r="W20" s="25"/>
      <c r="X20" s="25"/>
      <c r="Y20" s="25"/>
    </row>
    <row r="21" spans="1:25" ht="30">
      <c r="A21" s="25"/>
      <c r="B21" s="7">
        <f t="shared" si="0"/>
        <v>18</v>
      </c>
      <c r="C21" s="7" t="s">
        <v>326</v>
      </c>
      <c r="D21" s="7" t="s">
        <v>216</v>
      </c>
      <c r="E21" s="7"/>
      <c r="F21" s="7"/>
      <c r="G21" s="9" t="s">
        <v>214</v>
      </c>
      <c r="H21" s="9" t="s">
        <v>308</v>
      </c>
      <c r="I21" s="9" t="s">
        <v>212</v>
      </c>
      <c r="J21" s="9" t="s">
        <v>212</v>
      </c>
      <c r="K21" s="7" t="s">
        <v>212</v>
      </c>
      <c r="L21" s="25"/>
      <c r="M21" s="25"/>
      <c r="N21" s="25"/>
      <c r="O21" s="25"/>
      <c r="P21" s="25"/>
      <c r="Q21" s="25"/>
      <c r="R21" s="25"/>
      <c r="S21" s="25"/>
      <c r="T21" s="25"/>
      <c r="U21" s="25"/>
      <c r="V21" s="25"/>
      <c r="W21" s="25"/>
      <c r="X21" s="25"/>
      <c r="Y21" s="25"/>
    </row>
    <row r="22" spans="1:25" ht="30">
      <c r="A22" s="25"/>
      <c r="B22" s="7">
        <f t="shared" si="0"/>
        <v>19</v>
      </c>
      <c r="C22" s="7" t="s">
        <v>327</v>
      </c>
      <c r="D22" s="7" t="s">
        <v>216</v>
      </c>
      <c r="E22" s="7"/>
      <c r="F22" s="7"/>
      <c r="G22" s="9" t="s">
        <v>214</v>
      </c>
      <c r="H22" s="9" t="s">
        <v>308</v>
      </c>
      <c r="I22" s="9" t="s">
        <v>212</v>
      </c>
      <c r="J22" s="9" t="s">
        <v>212</v>
      </c>
      <c r="K22" s="7" t="s">
        <v>212</v>
      </c>
      <c r="L22" s="25"/>
      <c r="M22" s="25"/>
      <c r="N22" s="25"/>
      <c r="O22" s="25"/>
      <c r="P22" s="25"/>
      <c r="Q22" s="25"/>
      <c r="R22" s="25"/>
      <c r="S22" s="25"/>
      <c r="T22" s="25"/>
      <c r="U22" s="25"/>
      <c r="V22" s="25"/>
      <c r="W22" s="25"/>
      <c r="X22" s="25"/>
      <c r="Y22" s="25"/>
    </row>
    <row r="23" spans="1:25" ht="30">
      <c r="A23" s="25"/>
      <c r="B23" s="7">
        <f t="shared" si="0"/>
        <v>20</v>
      </c>
      <c r="C23" s="7" t="s">
        <v>328</v>
      </c>
      <c r="D23" s="7" t="s">
        <v>216</v>
      </c>
      <c r="E23" s="7"/>
      <c r="F23" s="7"/>
      <c r="G23" s="9" t="s">
        <v>214</v>
      </c>
      <c r="H23" s="9" t="s">
        <v>308</v>
      </c>
      <c r="I23" s="9" t="s">
        <v>214</v>
      </c>
      <c r="J23" s="9" t="s">
        <v>212</v>
      </c>
      <c r="K23" s="7" t="s">
        <v>212</v>
      </c>
      <c r="L23" s="25"/>
      <c r="M23" s="25"/>
      <c r="N23" s="25"/>
      <c r="O23" s="25"/>
      <c r="P23" s="25"/>
      <c r="Q23" s="25"/>
      <c r="R23" s="25"/>
      <c r="S23" s="25"/>
      <c r="T23" s="25"/>
      <c r="U23" s="25"/>
      <c r="V23" s="25"/>
      <c r="W23" s="25"/>
      <c r="X23" s="25"/>
      <c r="Y23" s="25"/>
    </row>
    <row r="24" spans="1:25" ht="30">
      <c r="A24" s="25"/>
      <c r="B24" s="7">
        <f t="shared" si="0"/>
        <v>21</v>
      </c>
      <c r="C24" s="7" t="s">
        <v>329</v>
      </c>
      <c r="D24" s="7" t="s">
        <v>216</v>
      </c>
      <c r="E24" s="7"/>
      <c r="F24" s="7"/>
      <c r="G24" s="9" t="s">
        <v>214</v>
      </c>
      <c r="H24" s="9" t="s">
        <v>308</v>
      </c>
      <c r="I24" s="9" t="s">
        <v>212</v>
      </c>
      <c r="J24" s="9" t="s">
        <v>212</v>
      </c>
      <c r="K24" s="7" t="s">
        <v>212</v>
      </c>
      <c r="L24" s="25"/>
      <c r="M24" s="25"/>
      <c r="N24" s="25"/>
      <c r="O24" s="25"/>
      <c r="P24" s="25"/>
      <c r="Q24" s="25"/>
      <c r="R24" s="25"/>
      <c r="S24" s="25"/>
      <c r="T24" s="25"/>
      <c r="U24" s="25"/>
      <c r="V24" s="25"/>
      <c r="W24" s="25"/>
      <c r="X24" s="25"/>
      <c r="Y24" s="25"/>
    </row>
    <row r="25" spans="1:25" ht="30">
      <c r="A25" s="25"/>
      <c r="B25" s="7">
        <f t="shared" si="0"/>
        <v>22</v>
      </c>
      <c r="C25" s="7" t="s">
        <v>330</v>
      </c>
      <c r="D25" s="7" t="s">
        <v>216</v>
      </c>
      <c r="E25" s="7"/>
      <c r="F25" s="7"/>
      <c r="G25" s="9" t="s">
        <v>212</v>
      </c>
      <c r="H25" s="9" t="s">
        <v>313</v>
      </c>
      <c r="I25" s="9" t="s">
        <v>212</v>
      </c>
      <c r="J25" s="9" t="s">
        <v>212</v>
      </c>
      <c r="K25" s="7" t="s">
        <v>212</v>
      </c>
      <c r="L25" s="25"/>
      <c r="M25" s="25"/>
      <c r="N25" s="25"/>
      <c r="O25" s="25"/>
      <c r="P25" s="25"/>
      <c r="Q25" s="25"/>
      <c r="R25" s="25"/>
      <c r="S25" s="25"/>
      <c r="T25" s="25"/>
      <c r="U25" s="25"/>
      <c r="V25" s="25"/>
      <c r="W25" s="25"/>
      <c r="X25" s="25"/>
      <c r="Y25" s="25"/>
    </row>
    <row r="26" spans="1:25" ht="30">
      <c r="A26" s="25"/>
      <c r="B26" s="7">
        <f>B25+1</f>
        <v>23</v>
      </c>
      <c r="C26" s="7" t="s">
        <v>331</v>
      </c>
      <c r="D26" s="7" t="s">
        <v>216</v>
      </c>
      <c r="E26" s="7"/>
      <c r="F26" s="7"/>
      <c r="G26" s="9" t="s">
        <v>212</v>
      </c>
      <c r="H26" s="9" t="s">
        <v>313</v>
      </c>
      <c r="I26" s="9" t="s">
        <v>212</v>
      </c>
      <c r="J26" s="9" t="s">
        <v>212</v>
      </c>
      <c r="K26" s="7" t="s">
        <v>212</v>
      </c>
      <c r="L26" s="25"/>
      <c r="M26" s="25"/>
      <c r="N26" s="25"/>
      <c r="O26" s="25"/>
      <c r="P26" s="25"/>
      <c r="Q26" s="25"/>
      <c r="R26" s="25"/>
      <c r="S26" s="25"/>
      <c r="T26" s="25"/>
      <c r="U26" s="25"/>
      <c r="V26" s="25"/>
      <c r="W26" s="25"/>
      <c r="X26" s="25"/>
      <c r="Y26" s="25"/>
    </row>
    <row r="27" spans="1:25" ht="29.1" customHeight="1">
      <c r="A27" s="25"/>
      <c r="B27" s="7">
        <f>B26+1</f>
        <v>24</v>
      </c>
      <c r="C27" s="7" t="s">
        <v>332</v>
      </c>
      <c r="D27" s="7" t="s">
        <v>216</v>
      </c>
      <c r="E27" s="7"/>
      <c r="F27" s="7"/>
      <c r="G27" s="9" t="s">
        <v>214</v>
      </c>
      <c r="H27" s="9" t="s">
        <v>308</v>
      </c>
      <c r="I27" s="9" t="s">
        <v>214</v>
      </c>
      <c r="J27" s="9" t="s">
        <v>212</v>
      </c>
      <c r="K27" s="7"/>
      <c r="L27" s="25"/>
      <c r="M27" s="25"/>
      <c r="N27" s="25"/>
      <c r="O27" s="25"/>
      <c r="P27" s="25"/>
      <c r="Q27" s="25"/>
      <c r="R27" s="25"/>
      <c r="S27" s="25"/>
      <c r="T27" s="25"/>
      <c r="U27" s="25"/>
      <c r="V27" s="25"/>
      <c r="W27" s="25"/>
      <c r="X27" s="25"/>
      <c r="Y27" s="25"/>
    </row>
    <row r="28" spans="1:25" ht="29.1" customHeight="1">
      <c r="A28" s="25"/>
      <c r="B28" s="7">
        <f>B27+1</f>
        <v>25</v>
      </c>
      <c r="C28" s="7" t="s">
        <v>333</v>
      </c>
      <c r="D28" s="7" t="s">
        <v>219</v>
      </c>
      <c r="E28" s="7"/>
      <c r="F28" s="7"/>
      <c r="G28" s="9" t="s">
        <v>212</v>
      </c>
      <c r="H28" s="9" t="s">
        <v>313</v>
      </c>
      <c r="I28" s="9" t="s">
        <v>212</v>
      </c>
      <c r="J28" s="9" t="s">
        <v>334</v>
      </c>
      <c r="K28" s="7" t="s">
        <v>212</v>
      </c>
      <c r="L28" s="25"/>
      <c r="M28" s="25"/>
      <c r="N28" s="25"/>
      <c r="O28" s="25"/>
      <c r="P28" s="25"/>
      <c r="Q28" s="25"/>
      <c r="R28" s="25"/>
      <c r="S28" s="25"/>
      <c r="T28" s="25"/>
      <c r="U28" s="25"/>
      <c r="V28" s="25"/>
      <c r="W28" s="25"/>
      <c r="X28" s="25"/>
      <c r="Y28" s="25"/>
    </row>
    <row r="29" spans="1:25" ht="30">
      <c r="A29" s="25"/>
      <c r="B29" s="7">
        <f t="shared" si="0"/>
        <v>26</v>
      </c>
      <c r="C29" s="7" t="s">
        <v>335</v>
      </c>
      <c r="D29" s="7" t="s">
        <v>219</v>
      </c>
      <c r="E29" s="7"/>
      <c r="F29" s="7"/>
      <c r="G29" s="9" t="s">
        <v>214</v>
      </c>
      <c r="H29" s="9" t="s">
        <v>308</v>
      </c>
      <c r="I29" s="9" t="s">
        <v>212</v>
      </c>
      <c r="J29" s="9" t="s">
        <v>214</v>
      </c>
      <c r="K29" s="7" t="s">
        <v>212</v>
      </c>
      <c r="L29" s="25"/>
      <c r="M29" s="25"/>
      <c r="N29" s="25"/>
      <c r="O29" s="25"/>
      <c r="P29" s="25"/>
      <c r="Q29" s="25"/>
      <c r="R29" s="25"/>
      <c r="S29" s="25"/>
      <c r="T29" s="25"/>
      <c r="U29" s="25"/>
      <c r="V29" s="25"/>
      <c r="W29" s="25"/>
      <c r="X29" s="25"/>
      <c r="Y29" s="25"/>
    </row>
    <row r="30" spans="1:25" ht="30">
      <c r="A30" s="25"/>
      <c r="B30" s="7">
        <f t="shared" si="0"/>
        <v>27</v>
      </c>
      <c r="C30" s="7" t="s">
        <v>336</v>
      </c>
      <c r="D30" s="7" t="s">
        <v>219</v>
      </c>
      <c r="E30" s="7"/>
      <c r="F30" s="7"/>
      <c r="G30" s="9" t="s">
        <v>214</v>
      </c>
      <c r="H30" s="9" t="s">
        <v>308</v>
      </c>
      <c r="I30" s="9" t="s">
        <v>214</v>
      </c>
      <c r="J30" s="9" t="s">
        <v>214</v>
      </c>
      <c r="K30" s="7" t="s">
        <v>212</v>
      </c>
      <c r="L30" s="25"/>
      <c r="M30" s="25"/>
      <c r="N30" s="25"/>
      <c r="O30" s="25"/>
      <c r="P30" s="25"/>
      <c r="Q30" s="25"/>
      <c r="R30" s="25"/>
      <c r="S30" s="25"/>
      <c r="T30" s="25"/>
      <c r="U30" s="25"/>
      <c r="V30" s="25"/>
      <c r="W30" s="25"/>
      <c r="X30" s="25"/>
      <c r="Y30" s="25"/>
    </row>
    <row r="31" spans="1:25" ht="30">
      <c r="A31" s="25"/>
      <c r="B31" s="7">
        <f t="shared" si="0"/>
        <v>28</v>
      </c>
      <c r="C31" s="7" t="s">
        <v>337</v>
      </c>
      <c r="D31" s="7" t="s">
        <v>220</v>
      </c>
      <c r="E31" s="7"/>
      <c r="F31" s="7"/>
      <c r="G31" s="9" t="s">
        <v>212</v>
      </c>
      <c r="H31" s="9" t="s">
        <v>313</v>
      </c>
      <c r="I31" s="9" t="s">
        <v>212</v>
      </c>
      <c r="J31" s="9" t="s">
        <v>214</v>
      </c>
      <c r="K31" s="7" t="s">
        <v>212</v>
      </c>
      <c r="L31" s="25"/>
      <c r="M31" s="25"/>
      <c r="N31" s="25"/>
      <c r="O31" s="25"/>
      <c r="P31" s="25"/>
      <c r="Q31" s="25"/>
      <c r="R31" s="25"/>
      <c r="S31" s="25"/>
      <c r="T31" s="25"/>
      <c r="U31" s="25"/>
      <c r="V31" s="25"/>
      <c r="W31" s="25"/>
      <c r="X31" s="25"/>
      <c r="Y31" s="25"/>
    </row>
    <row r="32" spans="1:25" ht="30">
      <c r="A32" s="25"/>
      <c r="B32" s="7">
        <f t="shared" si="0"/>
        <v>29</v>
      </c>
      <c r="C32" s="7" t="s">
        <v>338</v>
      </c>
      <c r="D32" s="7" t="s">
        <v>220</v>
      </c>
      <c r="E32" s="7"/>
      <c r="F32" s="7"/>
      <c r="G32" s="9" t="s">
        <v>214</v>
      </c>
      <c r="H32" s="9" t="s">
        <v>308</v>
      </c>
      <c r="I32" s="9" t="s">
        <v>214</v>
      </c>
      <c r="J32" s="9" t="s">
        <v>214</v>
      </c>
      <c r="K32" s="7" t="s">
        <v>212</v>
      </c>
      <c r="L32" s="25"/>
      <c r="M32" s="25"/>
      <c r="N32" s="25"/>
      <c r="O32" s="25"/>
      <c r="P32" s="25"/>
      <c r="Q32" s="25"/>
      <c r="R32" s="25"/>
      <c r="S32" s="25"/>
      <c r="T32" s="25"/>
      <c r="U32" s="25"/>
      <c r="V32" s="25"/>
      <c r="W32" s="25"/>
      <c r="X32" s="25"/>
      <c r="Y32" s="25"/>
    </row>
    <row r="33" spans="1:25" ht="29.65" customHeight="1">
      <c r="A33" s="25"/>
      <c r="B33" s="7">
        <f t="shared" si="0"/>
        <v>30</v>
      </c>
      <c r="C33" s="7" t="s">
        <v>339</v>
      </c>
      <c r="D33" s="7" t="s">
        <v>220</v>
      </c>
      <c r="E33" s="7"/>
      <c r="F33" s="7"/>
      <c r="G33" s="9" t="s">
        <v>212</v>
      </c>
      <c r="H33" s="9" t="s">
        <v>313</v>
      </c>
      <c r="I33" s="9" t="s">
        <v>212</v>
      </c>
      <c r="J33" s="9" t="s">
        <v>214</v>
      </c>
      <c r="K33" s="7"/>
      <c r="L33" s="25"/>
      <c r="M33" s="25"/>
      <c r="N33" s="25"/>
      <c r="O33" s="25"/>
      <c r="P33" s="25"/>
      <c r="Q33" s="25"/>
      <c r="R33" s="25"/>
      <c r="S33" s="25"/>
      <c r="T33" s="25"/>
      <c r="U33" s="25"/>
      <c r="V33" s="25"/>
      <c r="W33" s="25"/>
      <c r="X33" s="25"/>
      <c r="Y33" s="25"/>
    </row>
    <row r="34" spans="1:25" ht="30">
      <c r="A34" s="25"/>
      <c r="B34" s="7">
        <f>B33+1</f>
        <v>31</v>
      </c>
      <c r="C34" s="7" t="s">
        <v>340</v>
      </c>
      <c r="D34" s="7" t="s">
        <v>221</v>
      </c>
      <c r="E34" s="7"/>
      <c r="F34" s="7"/>
      <c r="G34" s="9" t="s">
        <v>212</v>
      </c>
      <c r="H34" s="9" t="s">
        <v>313</v>
      </c>
      <c r="I34" s="9" t="s">
        <v>212</v>
      </c>
      <c r="J34" s="9" t="s">
        <v>212</v>
      </c>
      <c r="K34" s="7" t="s">
        <v>212</v>
      </c>
      <c r="L34" s="25"/>
      <c r="M34" s="25"/>
      <c r="N34" s="25"/>
      <c r="O34" s="25"/>
      <c r="P34" s="25"/>
      <c r="Q34" s="25"/>
      <c r="R34" s="25"/>
      <c r="S34" s="25"/>
      <c r="T34" s="25"/>
      <c r="U34" s="25"/>
      <c r="V34" s="25"/>
      <c r="W34" s="25"/>
      <c r="X34" s="25"/>
      <c r="Y34" s="25"/>
    </row>
    <row r="35" spans="1:25" ht="28.15" customHeight="1">
      <c r="A35" s="25"/>
      <c r="B35" s="7">
        <f t="shared" si="0"/>
        <v>32</v>
      </c>
      <c r="C35" s="7" t="s">
        <v>341</v>
      </c>
      <c r="D35" s="7" t="s">
        <v>221</v>
      </c>
      <c r="E35" s="7"/>
      <c r="F35" s="7"/>
      <c r="G35" s="9" t="s">
        <v>342</v>
      </c>
      <c r="H35" s="9" t="s">
        <v>343</v>
      </c>
      <c r="I35" s="9" t="s">
        <v>212</v>
      </c>
      <c r="J35" s="9" t="s">
        <v>212</v>
      </c>
      <c r="K35" s="7" t="s">
        <v>212</v>
      </c>
      <c r="L35" s="25"/>
      <c r="M35" s="25"/>
      <c r="N35" s="25"/>
      <c r="O35" s="25"/>
      <c r="P35" s="25"/>
      <c r="Q35" s="25"/>
      <c r="R35" s="25"/>
      <c r="S35" s="25"/>
      <c r="T35" s="25"/>
      <c r="U35" s="25"/>
      <c r="V35" s="25"/>
      <c r="W35" s="25"/>
      <c r="X35" s="25"/>
      <c r="Y35" s="25"/>
    </row>
    <row r="36" spans="1:25" ht="30">
      <c r="A36" s="25"/>
      <c r="B36" s="7">
        <f t="shared" si="0"/>
        <v>33</v>
      </c>
      <c r="C36" s="7" t="s">
        <v>344</v>
      </c>
      <c r="D36" s="7" t="s">
        <v>221</v>
      </c>
      <c r="E36" s="7"/>
      <c r="F36" s="7"/>
      <c r="G36" s="9" t="s">
        <v>212</v>
      </c>
      <c r="H36" s="9" t="s">
        <v>313</v>
      </c>
      <c r="I36" s="9" t="s">
        <v>214</v>
      </c>
      <c r="J36" s="9" t="s">
        <v>212</v>
      </c>
      <c r="K36" s="7" t="s">
        <v>212</v>
      </c>
      <c r="L36" s="25"/>
      <c r="M36" s="25"/>
      <c r="N36" s="25"/>
      <c r="O36" s="25"/>
      <c r="P36" s="25"/>
      <c r="Q36" s="25"/>
      <c r="R36" s="25"/>
      <c r="S36" s="25"/>
      <c r="T36" s="25"/>
      <c r="U36" s="25"/>
      <c r="V36" s="25"/>
      <c r="W36" s="25"/>
      <c r="X36" s="25"/>
      <c r="Y36" s="25"/>
    </row>
    <row r="37" spans="1:25" ht="30">
      <c r="A37" s="25"/>
      <c r="B37" s="7">
        <f t="shared" si="0"/>
        <v>34</v>
      </c>
      <c r="C37" s="7" t="s">
        <v>345</v>
      </c>
      <c r="D37" s="7" t="s">
        <v>221</v>
      </c>
      <c r="E37" s="7"/>
      <c r="F37" s="7"/>
      <c r="G37" s="9" t="s">
        <v>214</v>
      </c>
      <c r="H37" s="9" t="s">
        <v>308</v>
      </c>
      <c r="I37" s="9" t="s">
        <v>214</v>
      </c>
      <c r="J37" s="9" t="s">
        <v>214</v>
      </c>
      <c r="K37" s="7" t="s">
        <v>212</v>
      </c>
      <c r="L37" s="25"/>
      <c r="M37" s="25"/>
      <c r="N37" s="25"/>
      <c r="O37" s="25"/>
      <c r="P37" s="25"/>
      <c r="Q37" s="25"/>
      <c r="R37" s="25"/>
      <c r="S37" s="25"/>
      <c r="T37" s="25"/>
      <c r="U37" s="25"/>
      <c r="V37" s="25"/>
      <c r="W37" s="25"/>
      <c r="X37" s="25"/>
      <c r="Y37" s="25"/>
    </row>
    <row r="38" spans="1:25" ht="29.1" customHeight="1">
      <c r="A38" s="25"/>
      <c r="B38" s="7">
        <f t="shared" si="0"/>
        <v>35</v>
      </c>
      <c r="C38" s="7" t="s">
        <v>346</v>
      </c>
      <c r="D38" s="7" t="s">
        <v>221</v>
      </c>
      <c r="E38" s="7"/>
      <c r="F38" s="7"/>
      <c r="G38" s="9" t="s">
        <v>342</v>
      </c>
      <c r="H38" s="9" t="s">
        <v>343</v>
      </c>
      <c r="I38" s="9" t="s">
        <v>212</v>
      </c>
      <c r="J38" s="9" t="s">
        <v>212</v>
      </c>
      <c r="K38" s="7" t="s">
        <v>212</v>
      </c>
      <c r="L38" s="25"/>
      <c r="M38" s="25"/>
      <c r="N38" s="25"/>
      <c r="O38" s="25"/>
      <c r="P38" s="25"/>
      <c r="Q38" s="25"/>
      <c r="R38" s="25"/>
      <c r="S38" s="25"/>
      <c r="T38" s="25"/>
      <c r="U38" s="25"/>
      <c r="V38" s="25"/>
      <c r="W38" s="25"/>
      <c r="X38" s="25"/>
      <c r="Y38" s="25"/>
    </row>
    <row r="39" spans="1:25" ht="30">
      <c r="A39" s="25"/>
      <c r="B39" s="7">
        <f t="shared" si="0"/>
        <v>36</v>
      </c>
      <c r="C39" s="7" t="s">
        <v>347</v>
      </c>
      <c r="D39" s="7" t="s">
        <v>221</v>
      </c>
      <c r="E39" s="7"/>
      <c r="F39" s="7"/>
      <c r="G39" s="9" t="s">
        <v>214</v>
      </c>
      <c r="H39" s="9" t="s">
        <v>308</v>
      </c>
      <c r="I39" s="9" t="s">
        <v>214</v>
      </c>
      <c r="J39" s="9" t="s">
        <v>212</v>
      </c>
      <c r="K39" s="7" t="s">
        <v>212</v>
      </c>
      <c r="L39" s="25"/>
      <c r="M39" s="25"/>
      <c r="N39" s="25"/>
      <c r="O39" s="25"/>
      <c r="P39" s="25"/>
      <c r="Q39" s="25"/>
      <c r="R39" s="25"/>
      <c r="S39" s="25"/>
      <c r="T39" s="25"/>
      <c r="U39" s="25"/>
      <c r="V39" s="25"/>
      <c r="W39" s="25"/>
      <c r="X39" s="25"/>
      <c r="Y39" s="25"/>
    </row>
    <row r="40" spans="1:25" ht="29.65" customHeight="1">
      <c r="A40" s="25"/>
      <c r="B40" s="7">
        <f t="shared" si="0"/>
        <v>37</v>
      </c>
      <c r="C40" s="7" t="s">
        <v>348</v>
      </c>
      <c r="D40" s="7" t="s">
        <v>221</v>
      </c>
      <c r="E40" s="7"/>
      <c r="F40" s="7"/>
      <c r="G40" s="9" t="s">
        <v>342</v>
      </c>
      <c r="H40" s="9" t="s">
        <v>343</v>
      </c>
      <c r="I40" s="9" t="s">
        <v>212</v>
      </c>
      <c r="J40" s="9" t="s">
        <v>212</v>
      </c>
      <c r="K40" s="7" t="s">
        <v>212</v>
      </c>
      <c r="L40" s="25"/>
      <c r="M40" s="25"/>
      <c r="N40" s="25"/>
      <c r="O40" s="25"/>
      <c r="P40" s="25"/>
      <c r="Q40" s="25"/>
      <c r="R40" s="25"/>
      <c r="S40" s="25"/>
      <c r="T40" s="25"/>
      <c r="U40" s="25"/>
      <c r="V40" s="25"/>
      <c r="W40" s="25"/>
      <c r="X40" s="25"/>
      <c r="Y40" s="25"/>
    </row>
    <row r="41" spans="1:25" ht="30">
      <c r="A41" s="25"/>
      <c r="B41" s="7">
        <f t="shared" si="0"/>
        <v>38</v>
      </c>
      <c r="C41" s="7" t="s">
        <v>349</v>
      </c>
      <c r="D41" s="7" t="s">
        <v>221</v>
      </c>
      <c r="E41" s="7"/>
      <c r="F41" s="7"/>
      <c r="G41" s="9" t="s">
        <v>212</v>
      </c>
      <c r="H41" s="9" t="s">
        <v>313</v>
      </c>
      <c r="I41" s="9" t="s">
        <v>212</v>
      </c>
      <c r="J41" s="9" t="s">
        <v>212</v>
      </c>
      <c r="K41" s="7" t="s">
        <v>212</v>
      </c>
      <c r="L41" s="25"/>
      <c r="M41" s="25"/>
      <c r="N41" s="25"/>
      <c r="O41" s="25"/>
      <c r="P41" s="25"/>
      <c r="Q41" s="25"/>
      <c r="R41" s="25"/>
      <c r="S41" s="25"/>
      <c r="T41" s="25"/>
      <c r="U41" s="25"/>
      <c r="V41" s="25"/>
      <c r="W41" s="25"/>
      <c r="X41" s="25"/>
      <c r="Y41" s="25"/>
    </row>
    <row r="42" spans="1:25" ht="30">
      <c r="A42" s="25"/>
      <c r="B42" s="7">
        <f t="shared" si="0"/>
        <v>39</v>
      </c>
      <c r="C42" s="7" t="s">
        <v>350</v>
      </c>
      <c r="D42" s="7" t="s">
        <v>221</v>
      </c>
      <c r="E42" s="7"/>
      <c r="F42" s="7"/>
      <c r="G42" s="9" t="s">
        <v>212</v>
      </c>
      <c r="H42" s="9" t="s">
        <v>313</v>
      </c>
      <c r="I42" s="9" t="s">
        <v>214</v>
      </c>
      <c r="J42" s="9" t="s">
        <v>214</v>
      </c>
      <c r="K42" s="7" t="s">
        <v>212</v>
      </c>
      <c r="L42" s="25"/>
      <c r="M42" s="25"/>
      <c r="N42" s="25"/>
      <c r="O42" s="25"/>
      <c r="P42" s="25"/>
      <c r="Q42" s="25"/>
      <c r="R42" s="25"/>
      <c r="S42" s="25"/>
      <c r="T42" s="25"/>
      <c r="U42" s="25"/>
      <c r="V42" s="25"/>
      <c r="W42" s="25"/>
      <c r="X42" s="25"/>
      <c r="Y42" s="25"/>
    </row>
    <row r="43" spans="1:25" ht="30">
      <c r="A43" s="25"/>
      <c r="B43" s="7">
        <f t="shared" si="0"/>
        <v>40</v>
      </c>
      <c r="C43" s="7" t="s">
        <v>351</v>
      </c>
      <c r="D43" s="7" t="s">
        <v>221</v>
      </c>
      <c r="E43" s="7"/>
      <c r="F43" s="7"/>
      <c r="G43" s="9" t="s">
        <v>212</v>
      </c>
      <c r="H43" s="9" t="s">
        <v>313</v>
      </c>
      <c r="I43" s="9" t="s">
        <v>214</v>
      </c>
      <c r="J43" s="9" t="s">
        <v>214</v>
      </c>
      <c r="K43" s="7" t="s">
        <v>212</v>
      </c>
      <c r="L43" s="25"/>
      <c r="M43" s="25"/>
      <c r="N43" s="25"/>
      <c r="O43" s="25"/>
      <c r="P43" s="25"/>
      <c r="Q43" s="25"/>
      <c r="R43" s="25"/>
      <c r="S43" s="25"/>
      <c r="T43" s="25"/>
      <c r="U43" s="25"/>
      <c r="V43" s="25"/>
      <c r="W43" s="25"/>
      <c r="X43" s="25"/>
      <c r="Y43" s="25"/>
    </row>
    <row r="44" spans="1:25" ht="30">
      <c r="A44" s="25"/>
      <c r="B44" s="7">
        <f t="shared" si="0"/>
        <v>41</v>
      </c>
      <c r="C44" s="7" t="s">
        <v>352</v>
      </c>
      <c r="D44" s="7" t="s">
        <v>221</v>
      </c>
      <c r="E44" s="7"/>
      <c r="F44" s="7"/>
      <c r="G44" s="9" t="s">
        <v>212</v>
      </c>
      <c r="H44" s="9" t="s">
        <v>313</v>
      </c>
      <c r="I44" s="9" t="s">
        <v>212</v>
      </c>
      <c r="J44" s="9" t="s">
        <v>212</v>
      </c>
      <c r="K44" s="7" t="s">
        <v>212</v>
      </c>
      <c r="L44" s="25"/>
      <c r="M44" s="25"/>
      <c r="N44" s="25"/>
      <c r="O44" s="25"/>
      <c r="P44" s="25"/>
      <c r="Q44" s="25"/>
      <c r="R44" s="25"/>
      <c r="S44" s="25"/>
      <c r="T44" s="25"/>
      <c r="U44" s="25"/>
      <c r="V44" s="25"/>
      <c r="W44" s="25"/>
      <c r="X44" s="25"/>
      <c r="Y44" s="25"/>
    </row>
    <row r="45" spans="1:25" ht="30">
      <c r="A45" s="25"/>
      <c r="B45" s="7">
        <f t="shared" si="0"/>
        <v>42</v>
      </c>
      <c r="C45" s="7" t="s">
        <v>353</v>
      </c>
      <c r="D45" s="7" t="s">
        <v>221</v>
      </c>
      <c r="E45" s="7"/>
      <c r="F45" s="7"/>
      <c r="G45" s="9" t="s">
        <v>212</v>
      </c>
      <c r="H45" s="9" t="s">
        <v>313</v>
      </c>
      <c r="I45" s="9" t="s">
        <v>212</v>
      </c>
      <c r="J45" s="9" t="s">
        <v>212</v>
      </c>
      <c r="K45" s="7" t="s">
        <v>212</v>
      </c>
      <c r="L45" s="25"/>
      <c r="M45" s="25"/>
      <c r="N45" s="25"/>
      <c r="O45" s="25"/>
      <c r="P45" s="25"/>
      <c r="Q45" s="25"/>
      <c r="R45" s="25"/>
      <c r="S45" s="25"/>
      <c r="T45" s="25"/>
      <c r="U45" s="25"/>
      <c r="V45" s="25"/>
      <c r="W45" s="25"/>
      <c r="X45" s="25"/>
      <c r="Y45" s="25"/>
    </row>
    <row r="46" spans="1:25" ht="30">
      <c r="A46" s="25"/>
      <c r="B46" s="7">
        <f t="shared" si="0"/>
        <v>43</v>
      </c>
      <c r="C46" s="7" t="s">
        <v>354</v>
      </c>
      <c r="D46" s="7" t="s">
        <v>221</v>
      </c>
      <c r="E46" s="7"/>
      <c r="F46" s="7"/>
      <c r="G46" s="9" t="s">
        <v>212</v>
      </c>
      <c r="H46" s="9" t="s">
        <v>313</v>
      </c>
      <c r="I46" s="9" t="s">
        <v>212</v>
      </c>
      <c r="J46" s="9" t="s">
        <v>212</v>
      </c>
      <c r="K46" s="7" t="s">
        <v>212</v>
      </c>
      <c r="L46" s="25"/>
      <c r="M46" s="25"/>
      <c r="N46" s="25"/>
      <c r="O46" s="25"/>
      <c r="P46" s="25"/>
      <c r="Q46" s="25"/>
      <c r="R46" s="25"/>
      <c r="S46" s="25"/>
      <c r="T46" s="25"/>
      <c r="U46" s="25"/>
      <c r="V46" s="25"/>
      <c r="W46" s="25"/>
      <c r="X46" s="25"/>
      <c r="Y46" s="25"/>
    </row>
    <row r="47" spans="1:25" ht="30">
      <c r="A47" s="25"/>
      <c r="B47" s="7">
        <f t="shared" si="0"/>
        <v>44</v>
      </c>
      <c r="C47" s="7" t="s">
        <v>355</v>
      </c>
      <c r="D47" s="7" t="s">
        <v>221</v>
      </c>
      <c r="E47" s="7"/>
      <c r="F47" s="7"/>
      <c r="G47" s="9" t="s">
        <v>212</v>
      </c>
      <c r="H47" s="9" t="s">
        <v>313</v>
      </c>
      <c r="I47" s="9" t="s">
        <v>212</v>
      </c>
      <c r="J47" s="9" t="s">
        <v>212</v>
      </c>
      <c r="K47" s="7" t="s">
        <v>212</v>
      </c>
      <c r="L47" s="25"/>
      <c r="M47" s="25"/>
      <c r="N47" s="25"/>
      <c r="O47" s="25"/>
      <c r="P47" s="25"/>
      <c r="Q47" s="25"/>
      <c r="R47" s="25"/>
      <c r="S47" s="25"/>
      <c r="T47" s="25"/>
      <c r="U47" s="25"/>
      <c r="V47" s="25"/>
      <c r="W47" s="25"/>
      <c r="X47" s="25"/>
      <c r="Y47" s="25"/>
    </row>
    <row r="48" spans="1:25" ht="30">
      <c r="A48" s="25"/>
      <c r="B48" s="7">
        <f t="shared" si="0"/>
        <v>45</v>
      </c>
      <c r="C48" s="7" t="s">
        <v>356</v>
      </c>
      <c r="D48" s="7" t="s">
        <v>221</v>
      </c>
      <c r="E48" s="7"/>
      <c r="F48" s="7"/>
      <c r="G48" s="9" t="s">
        <v>212</v>
      </c>
      <c r="H48" s="9" t="s">
        <v>313</v>
      </c>
      <c r="I48" s="9" t="s">
        <v>214</v>
      </c>
      <c r="J48" s="9" t="s">
        <v>212</v>
      </c>
      <c r="K48" s="7" t="s">
        <v>212</v>
      </c>
      <c r="L48" s="25"/>
      <c r="M48" s="25"/>
      <c r="N48" s="25"/>
      <c r="O48" s="25"/>
      <c r="P48" s="25"/>
      <c r="Q48" s="25"/>
      <c r="R48" s="25"/>
      <c r="S48" s="25"/>
      <c r="T48" s="25"/>
      <c r="U48" s="25"/>
      <c r="V48" s="25"/>
      <c r="W48" s="25"/>
      <c r="X48" s="25"/>
      <c r="Y48" s="25"/>
    </row>
    <row r="49" spans="1:25" ht="30">
      <c r="A49" s="25"/>
      <c r="B49" s="7">
        <f t="shared" si="0"/>
        <v>46</v>
      </c>
      <c r="C49" s="7" t="s">
        <v>104</v>
      </c>
      <c r="D49" s="7" t="s">
        <v>103</v>
      </c>
      <c r="E49" s="7"/>
      <c r="F49" s="7"/>
      <c r="G49" s="9" t="s">
        <v>214</v>
      </c>
      <c r="H49" s="9" t="s">
        <v>308</v>
      </c>
      <c r="I49" s="9" t="s">
        <v>212</v>
      </c>
      <c r="J49" s="9" t="s">
        <v>212</v>
      </c>
      <c r="K49" s="7" t="s">
        <v>212</v>
      </c>
      <c r="L49" s="25"/>
      <c r="M49" s="25"/>
      <c r="N49" s="25"/>
      <c r="O49" s="25"/>
      <c r="P49" s="25"/>
      <c r="Q49" s="25"/>
      <c r="R49" s="25"/>
      <c r="S49" s="25"/>
      <c r="T49" s="25"/>
      <c r="U49" s="25"/>
      <c r="V49" s="25"/>
      <c r="W49" s="25"/>
      <c r="X49" s="25"/>
      <c r="Y49" s="25"/>
    </row>
    <row r="50" spans="1:25" ht="30">
      <c r="A50" s="25"/>
      <c r="B50" s="7">
        <f t="shared" si="0"/>
        <v>47</v>
      </c>
      <c r="C50" s="7" t="s">
        <v>357</v>
      </c>
      <c r="D50" s="7" t="s">
        <v>221</v>
      </c>
      <c r="E50" s="7"/>
      <c r="F50" s="7"/>
      <c r="G50" s="9" t="s">
        <v>212</v>
      </c>
      <c r="H50" s="9" t="s">
        <v>313</v>
      </c>
      <c r="I50" s="9" t="s">
        <v>214</v>
      </c>
      <c r="J50" s="9" t="s">
        <v>214</v>
      </c>
      <c r="K50" s="7" t="s">
        <v>212</v>
      </c>
      <c r="L50" s="25"/>
      <c r="M50" s="25"/>
      <c r="N50" s="25"/>
      <c r="O50" s="25"/>
      <c r="P50" s="25"/>
      <c r="Q50" s="25"/>
      <c r="R50" s="25"/>
      <c r="S50" s="25"/>
      <c r="T50" s="25"/>
      <c r="U50" s="25"/>
      <c r="V50" s="25"/>
      <c r="W50" s="25"/>
      <c r="X50" s="25"/>
      <c r="Y50" s="25"/>
    </row>
    <row r="51" spans="1:25" ht="29.65" customHeight="1">
      <c r="A51" s="25"/>
      <c r="B51" s="7">
        <f t="shared" si="0"/>
        <v>48</v>
      </c>
      <c r="C51" s="7" t="s">
        <v>358</v>
      </c>
      <c r="D51" s="7" t="s">
        <v>221</v>
      </c>
      <c r="E51" s="7"/>
      <c r="F51" s="7"/>
      <c r="G51" s="9" t="s">
        <v>342</v>
      </c>
      <c r="H51" s="9" t="s">
        <v>343</v>
      </c>
      <c r="I51" s="9" t="s">
        <v>212</v>
      </c>
      <c r="J51" s="9" t="s">
        <v>212</v>
      </c>
      <c r="K51" s="7" t="s">
        <v>212</v>
      </c>
      <c r="L51" s="25"/>
      <c r="M51" s="25"/>
      <c r="N51" s="25"/>
      <c r="O51" s="25"/>
      <c r="P51" s="25"/>
      <c r="Q51" s="25"/>
      <c r="R51" s="25"/>
      <c r="S51" s="25"/>
      <c r="T51" s="25"/>
      <c r="U51" s="25"/>
      <c r="V51" s="25"/>
      <c r="W51" s="25"/>
      <c r="X51" s="25"/>
      <c r="Y51" s="25"/>
    </row>
    <row r="52" spans="1:25" ht="30">
      <c r="A52" s="25"/>
      <c r="B52" s="7">
        <f t="shared" si="0"/>
        <v>49</v>
      </c>
      <c r="C52" s="7" t="s">
        <v>359</v>
      </c>
      <c r="D52" s="7" t="s">
        <v>221</v>
      </c>
      <c r="E52" s="7"/>
      <c r="F52" s="7"/>
      <c r="G52" s="9" t="s">
        <v>212</v>
      </c>
      <c r="H52" s="9" t="s">
        <v>313</v>
      </c>
      <c r="I52" s="9" t="s">
        <v>212</v>
      </c>
      <c r="J52" s="9" t="s">
        <v>212</v>
      </c>
      <c r="K52" s="7" t="s">
        <v>212</v>
      </c>
      <c r="L52" s="25"/>
      <c r="M52" s="25"/>
      <c r="N52" s="25"/>
      <c r="O52" s="25"/>
      <c r="P52" s="25"/>
      <c r="Q52" s="25"/>
      <c r="R52" s="25"/>
      <c r="S52" s="25"/>
      <c r="T52" s="25"/>
      <c r="U52" s="25"/>
      <c r="V52" s="25"/>
      <c r="W52" s="25"/>
      <c r="X52" s="25"/>
      <c r="Y52" s="25"/>
    </row>
    <row r="53" spans="1:25" ht="30">
      <c r="A53" s="25"/>
      <c r="B53" s="7">
        <f t="shared" si="0"/>
        <v>50</v>
      </c>
      <c r="C53" s="7" t="s">
        <v>360</v>
      </c>
      <c r="D53" s="7" t="s">
        <v>221</v>
      </c>
      <c r="E53" s="7"/>
      <c r="F53" s="7"/>
      <c r="G53" s="9" t="s">
        <v>212</v>
      </c>
      <c r="H53" s="9" t="s">
        <v>313</v>
      </c>
      <c r="I53" s="9" t="s">
        <v>212</v>
      </c>
      <c r="J53" s="9" t="s">
        <v>212</v>
      </c>
      <c r="K53" s="7" t="s">
        <v>212</v>
      </c>
      <c r="L53" s="25"/>
      <c r="M53" s="25"/>
      <c r="N53" s="25"/>
      <c r="O53" s="25"/>
      <c r="P53" s="25"/>
      <c r="Q53" s="25"/>
      <c r="R53" s="25"/>
      <c r="S53" s="25"/>
      <c r="T53" s="25"/>
      <c r="U53" s="25"/>
      <c r="V53" s="25"/>
      <c r="W53" s="25"/>
      <c r="X53" s="25"/>
      <c r="Y53" s="25"/>
    </row>
    <row r="54" spans="1:25" ht="29.65" customHeight="1">
      <c r="A54" s="25"/>
      <c r="B54" s="7">
        <f t="shared" si="0"/>
        <v>51</v>
      </c>
      <c r="C54" s="7" t="s">
        <v>361</v>
      </c>
      <c r="D54" s="7" t="s">
        <v>221</v>
      </c>
      <c r="E54" s="7"/>
      <c r="F54" s="7"/>
      <c r="G54" s="9" t="s">
        <v>212</v>
      </c>
      <c r="H54" s="9" t="s">
        <v>313</v>
      </c>
      <c r="I54" s="9" t="s">
        <v>212</v>
      </c>
      <c r="J54" s="9" t="s">
        <v>212</v>
      </c>
      <c r="K54" s="7"/>
      <c r="L54" s="25"/>
      <c r="M54" s="25"/>
      <c r="N54" s="25"/>
      <c r="O54" s="25"/>
      <c r="P54" s="25"/>
      <c r="Q54" s="25"/>
      <c r="R54" s="25"/>
      <c r="S54" s="25"/>
      <c r="T54" s="25"/>
      <c r="U54" s="25"/>
      <c r="V54" s="25"/>
      <c r="W54" s="25"/>
      <c r="X54" s="25"/>
      <c r="Y54" s="25"/>
    </row>
    <row r="55" spans="1:25" ht="30">
      <c r="A55" s="25"/>
      <c r="B55" s="7">
        <f>B54+1</f>
        <v>52</v>
      </c>
      <c r="C55" s="7" t="s">
        <v>362</v>
      </c>
      <c r="D55" s="7" t="s">
        <v>222</v>
      </c>
      <c r="E55" s="7"/>
      <c r="F55" s="7"/>
      <c r="G55" s="9" t="s">
        <v>212</v>
      </c>
      <c r="H55" s="9" t="s">
        <v>313</v>
      </c>
      <c r="I55" s="9" t="s">
        <v>212</v>
      </c>
      <c r="J55" s="9" t="s">
        <v>212</v>
      </c>
      <c r="K55" s="7" t="s">
        <v>212</v>
      </c>
      <c r="L55" s="25"/>
      <c r="M55" s="25"/>
      <c r="N55" s="25"/>
      <c r="O55" s="25"/>
      <c r="P55" s="25"/>
      <c r="Q55" s="25"/>
      <c r="R55" s="25"/>
      <c r="S55" s="25"/>
      <c r="T55" s="25"/>
      <c r="U55" s="25"/>
      <c r="V55" s="25"/>
      <c r="W55" s="25"/>
      <c r="X55" s="25"/>
      <c r="Y55" s="25"/>
    </row>
    <row r="56" spans="1:25" ht="30">
      <c r="A56" s="25"/>
      <c r="B56" s="7">
        <f t="shared" si="0"/>
        <v>53</v>
      </c>
      <c r="C56" s="7" t="s">
        <v>363</v>
      </c>
      <c r="D56" s="7" t="s">
        <v>222</v>
      </c>
      <c r="E56" s="7"/>
      <c r="F56" s="7"/>
      <c r="G56" s="9" t="s">
        <v>214</v>
      </c>
      <c r="H56" s="9" t="s">
        <v>308</v>
      </c>
      <c r="I56" s="9" t="s">
        <v>214</v>
      </c>
      <c r="J56" s="9" t="s">
        <v>214</v>
      </c>
      <c r="K56" s="7" t="s">
        <v>212</v>
      </c>
      <c r="L56" s="25"/>
      <c r="M56" s="25"/>
      <c r="N56" s="25"/>
      <c r="O56" s="25"/>
      <c r="P56" s="25"/>
      <c r="Q56" s="25"/>
      <c r="R56" s="25"/>
      <c r="S56" s="25"/>
      <c r="T56" s="25"/>
      <c r="U56" s="25"/>
      <c r="V56" s="25"/>
      <c r="W56" s="25"/>
      <c r="X56" s="25"/>
      <c r="Y56" s="25"/>
    </row>
    <row r="57" spans="1:25" ht="30">
      <c r="A57" s="25"/>
      <c r="B57" s="7">
        <f t="shared" si="0"/>
        <v>54</v>
      </c>
      <c r="C57" s="7" t="s">
        <v>364</v>
      </c>
      <c r="D57" s="7" t="s">
        <v>222</v>
      </c>
      <c r="E57" s="7"/>
      <c r="F57" s="7"/>
      <c r="G57" s="9" t="s">
        <v>214</v>
      </c>
      <c r="H57" s="9" t="s">
        <v>308</v>
      </c>
      <c r="I57" s="9" t="s">
        <v>212</v>
      </c>
      <c r="J57" s="9" t="s">
        <v>212</v>
      </c>
      <c r="K57" s="7" t="s">
        <v>212</v>
      </c>
      <c r="L57" s="25"/>
      <c r="M57" s="25"/>
      <c r="N57" s="25"/>
      <c r="O57" s="25"/>
      <c r="P57" s="25"/>
      <c r="Q57" s="25"/>
      <c r="R57" s="25"/>
      <c r="S57" s="25"/>
      <c r="T57" s="25"/>
      <c r="U57" s="25"/>
      <c r="V57" s="25"/>
      <c r="W57" s="25"/>
      <c r="X57" s="25"/>
      <c r="Y57" s="25"/>
    </row>
    <row r="58" spans="1:25" ht="30">
      <c r="A58" s="25"/>
      <c r="B58" s="7">
        <f t="shared" si="0"/>
        <v>55</v>
      </c>
      <c r="C58" s="7" t="s">
        <v>365</v>
      </c>
      <c r="D58" s="7" t="s">
        <v>222</v>
      </c>
      <c r="E58" s="7"/>
      <c r="F58" s="7"/>
      <c r="G58" s="9" t="s">
        <v>214</v>
      </c>
      <c r="H58" s="9" t="s">
        <v>308</v>
      </c>
      <c r="I58" s="9" t="s">
        <v>212</v>
      </c>
      <c r="J58" s="9" t="s">
        <v>212</v>
      </c>
      <c r="K58" s="7" t="s">
        <v>212</v>
      </c>
      <c r="L58" s="25"/>
      <c r="M58" s="25"/>
      <c r="N58" s="25"/>
      <c r="O58" s="25"/>
      <c r="P58" s="25"/>
      <c r="Q58" s="25"/>
      <c r="R58" s="25"/>
      <c r="S58" s="25"/>
      <c r="T58" s="25"/>
      <c r="U58" s="25"/>
      <c r="V58" s="25"/>
      <c r="W58" s="25"/>
      <c r="X58" s="25"/>
      <c r="Y58" s="25"/>
    </row>
    <row r="59" spans="1:25" ht="30">
      <c r="A59" s="25"/>
      <c r="B59" s="7">
        <f t="shared" si="0"/>
        <v>56</v>
      </c>
      <c r="C59" s="7" t="s">
        <v>366</v>
      </c>
      <c r="D59" s="7" t="s">
        <v>218</v>
      </c>
      <c r="E59" s="7"/>
      <c r="F59" s="7"/>
      <c r="G59" s="9" t="s">
        <v>214</v>
      </c>
      <c r="H59" s="9" t="s">
        <v>308</v>
      </c>
      <c r="I59" s="9" t="s">
        <v>214</v>
      </c>
      <c r="J59" s="9" t="s">
        <v>214</v>
      </c>
      <c r="K59" s="7" t="s">
        <v>212</v>
      </c>
      <c r="L59" s="25"/>
      <c r="M59" s="25"/>
      <c r="N59" s="25"/>
      <c r="O59" s="25"/>
      <c r="P59" s="25"/>
      <c r="Q59" s="25"/>
      <c r="R59" s="25"/>
      <c r="S59" s="25"/>
      <c r="T59" s="25"/>
      <c r="U59" s="25"/>
      <c r="V59" s="25"/>
      <c r="W59" s="25"/>
      <c r="X59" s="25"/>
      <c r="Y59" s="25"/>
    </row>
    <row r="60" spans="1:25" ht="30">
      <c r="A60" s="25"/>
      <c r="B60" s="7">
        <f t="shared" si="0"/>
        <v>57</v>
      </c>
      <c r="C60" s="7" t="s">
        <v>367</v>
      </c>
      <c r="D60" s="7" t="s">
        <v>223</v>
      </c>
      <c r="E60" s="7"/>
      <c r="F60" s="7"/>
      <c r="G60" s="9" t="s">
        <v>212</v>
      </c>
      <c r="H60" s="9" t="s">
        <v>313</v>
      </c>
      <c r="I60" s="9" t="s">
        <v>334</v>
      </c>
      <c r="J60" s="9" t="s">
        <v>214</v>
      </c>
      <c r="K60" s="7" t="s">
        <v>212</v>
      </c>
      <c r="L60" s="25"/>
      <c r="M60" s="25"/>
      <c r="N60" s="25"/>
      <c r="O60" s="25"/>
      <c r="P60" s="25"/>
      <c r="Q60" s="25"/>
      <c r="R60" s="25"/>
      <c r="S60" s="25"/>
      <c r="T60" s="25"/>
      <c r="U60" s="25"/>
      <c r="V60" s="25"/>
      <c r="W60" s="25"/>
      <c r="X60" s="25"/>
      <c r="Y60" s="25"/>
    </row>
    <row r="61" spans="1:25" ht="30">
      <c r="A61" s="25"/>
      <c r="B61" s="7">
        <f t="shared" si="0"/>
        <v>58</v>
      </c>
      <c r="C61" s="7" t="s">
        <v>368</v>
      </c>
      <c r="D61" s="7" t="s">
        <v>218</v>
      </c>
      <c r="E61" s="7"/>
      <c r="F61" s="7"/>
      <c r="G61" s="9" t="s">
        <v>212</v>
      </c>
      <c r="H61" s="9" t="s">
        <v>313</v>
      </c>
      <c r="I61" s="9" t="s">
        <v>214</v>
      </c>
      <c r="J61" s="9" t="s">
        <v>214</v>
      </c>
      <c r="K61" s="7" t="s">
        <v>212</v>
      </c>
      <c r="L61" s="25"/>
      <c r="M61" s="25"/>
      <c r="N61" s="25"/>
      <c r="O61" s="25"/>
      <c r="P61" s="25"/>
      <c r="Q61" s="25"/>
      <c r="R61" s="25"/>
      <c r="S61" s="25"/>
      <c r="T61" s="25"/>
      <c r="U61" s="25"/>
      <c r="V61" s="25"/>
      <c r="W61" s="25"/>
      <c r="X61" s="25"/>
      <c r="Y61" s="25"/>
    </row>
    <row r="62" spans="1:25" ht="30">
      <c r="A62" s="25"/>
      <c r="B62" s="7">
        <f t="shared" si="0"/>
        <v>59</v>
      </c>
      <c r="C62" s="7" t="s">
        <v>369</v>
      </c>
      <c r="D62" s="7" t="s">
        <v>218</v>
      </c>
      <c r="E62" s="7"/>
      <c r="F62" s="7"/>
      <c r="G62" s="9" t="s">
        <v>212</v>
      </c>
      <c r="H62" s="9" t="s">
        <v>313</v>
      </c>
      <c r="I62" s="9" t="s">
        <v>334</v>
      </c>
      <c r="J62" s="9" t="s">
        <v>214</v>
      </c>
      <c r="K62" s="7" t="s">
        <v>212</v>
      </c>
      <c r="L62" s="25"/>
      <c r="M62" s="25"/>
      <c r="N62" s="25"/>
      <c r="O62" s="25"/>
      <c r="P62" s="25"/>
      <c r="Q62" s="25"/>
      <c r="R62" s="25"/>
      <c r="S62" s="25"/>
      <c r="T62" s="25"/>
      <c r="U62" s="25"/>
      <c r="V62" s="25"/>
      <c r="W62" s="25"/>
      <c r="X62" s="25"/>
      <c r="Y62" s="25"/>
    </row>
    <row r="63" spans="1:25" ht="30">
      <c r="A63" s="25"/>
      <c r="B63" s="7">
        <f t="shared" si="0"/>
        <v>60</v>
      </c>
      <c r="C63" s="7" t="s">
        <v>370</v>
      </c>
      <c r="D63" s="7" t="s">
        <v>218</v>
      </c>
      <c r="E63" s="7"/>
      <c r="F63" s="7"/>
      <c r="G63" s="9" t="s">
        <v>212</v>
      </c>
      <c r="H63" s="9" t="s">
        <v>313</v>
      </c>
      <c r="I63" s="9" t="s">
        <v>214</v>
      </c>
      <c r="J63" s="9" t="s">
        <v>214</v>
      </c>
      <c r="K63" s="7" t="s">
        <v>212</v>
      </c>
      <c r="L63" s="25"/>
      <c r="M63" s="25"/>
      <c r="N63" s="25"/>
      <c r="O63" s="25"/>
      <c r="P63" s="25"/>
      <c r="Q63" s="25"/>
      <c r="R63" s="25"/>
      <c r="S63" s="25"/>
      <c r="T63" s="25"/>
      <c r="U63" s="25"/>
      <c r="V63" s="25"/>
      <c r="W63" s="25"/>
      <c r="X63" s="25"/>
      <c r="Y63" s="25"/>
    </row>
    <row r="64" spans="1:25" ht="30">
      <c r="A64" s="25"/>
      <c r="B64" s="7">
        <f t="shared" si="0"/>
        <v>61</v>
      </c>
      <c r="C64" s="7" t="s">
        <v>371</v>
      </c>
      <c r="D64" s="7" t="s">
        <v>218</v>
      </c>
      <c r="E64" s="7"/>
      <c r="F64" s="7"/>
      <c r="G64" s="9" t="s">
        <v>212</v>
      </c>
      <c r="H64" s="9" t="s">
        <v>313</v>
      </c>
      <c r="I64" s="9" t="s">
        <v>334</v>
      </c>
      <c r="J64" s="9" t="s">
        <v>214</v>
      </c>
      <c r="K64" s="7" t="s">
        <v>212</v>
      </c>
      <c r="L64" s="25"/>
      <c r="M64" s="25"/>
      <c r="N64" s="25"/>
      <c r="O64" s="25"/>
      <c r="P64" s="25"/>
      <c r="Q64" s="25"/>
      <c r="R64" s="25"/>
      <c r="S64" s="25"/>
      <c r="T64" s="25"/>
      <c r="U64" s="25"/>
      <c r="V64" s="25"/>
      <c r="W64" s="25"/>
      <c r="X64" s="25"/>
      <c r="Y64" s="25"/>
    </row>
    <row r="65" spans="1:25" ht="30">
      <c r="A65" s="25"/>
      <c r="B65" s="7">
        <f t="shared" si="0"/>
        <v>62</v>
      </c>
      <c r="C65" s="7" t="s">
        <v>372</v>
      </c>
      <c r="D65" s="7" t="s">
        <v>218</v>
      </c>
      <c r="E65" s="7"/>
      <c r="F65" s="7"/>
      <c r="G65" s="9" t="s">
        <v>212</v>
      </c>
      <c r="H65" s="9" t="s">
        <v>313</v>
      </c>
      <c r="I65" s="9" t="s">
        <v>334</v>
      </c>
      <c r="J65" s="9" t="s">
        <v>214</v>
      </c>
      <c r="K65" s="7" t="s">
        <v>212</v>
      </c>
      <c r="L65" s="25"/>
      <c r="M65" s="25"/>
      <c r="N65" s="25"/>
      <c r="O65" s="25"/>
      <c r="P65" s="25"/>
      <c r="Q65" s="25"/>
      <c r="R65" s="25"/>
      <c r="S65" s="25"/>
      <c r="T65" s="25"/>
      <c r="U65" s="25"/>
      <c r="V65" s="25"/>
      <c r="W65" s="25"/>
      <c r="X65" s="25"/>
      <c r="Y65" s="25"/>
    </row>
    <row r="66" spans="1:25" ht="30">
      <c r="A66" s="25"/>
      <c r="B66" s="7">
        <f t="shared" si="0"/>
        <v>63</v>
      </c>
      <c r="C66" s="7" t="s">
        <v>373</v>
      </c>
      <c r="D66" s="7" t="s">
        <v>218</v>
      </c>
      <c r="E66" s="7"/>
      <c r="F66" s="7"/>
      <c r="G66" s="9" t="s">
        <v>212</v>
      </c>
      <c r="H66" s="9" t="s">
        <v>313</v>
      </c>
      <c r="I66" s="9" t="s">
        <v>334</v>
      </c>
      <c r="J66" s="9" t="s">
        <v>334</v>
      </c>
      <c r="K66" s="7" t="s">
        <v>212</v>
      </c>
      <c r="L66" s="25"/>
      <c r="M66" s="25"/>
      <c r="N66" s="25"/>
      <c r="O66" s="25"/>
      <c r="P66" s="25"/>
      <c r="Q66" s="25"/>
      <c r="R66" s="25"/>
      <c r="S66" s="25"/>
      <c r="T66" s="25"/>
      <c r="U66" s="25"/>
      <c r="V66" s="25"/>
      <c r="W66" s="25"/>
      <c r="X66" s="25"/>
      <c r="Y66" s="25"/>
    </row>
    <row r="67" spans="1:25" ht="30">
      <c r="A67" s="25"/>
      <c r="B67" s="7">
        <f t="shared" si="0"/>
        <v>64</v>
      </c>
      <c r="C67" s="7" t="s">
        <v>374</v>
      </c>
      <c r="D67" s="7" t="s">
        <v>218</v>
      </c>
      <c r="E67" s="7"/>
      <c r="F67" s="7"/>
      <c r="G67" s="9" t="s">
        <v>212</v>
      </c>
      <c r="H67" s="9" t="s">
        <v>313</v>
      </c>
      <c r="I67" s="9" t="s">
        <v>334</v>
      </c>
      <c r="J67" s="9" t="s">
        <v>214</v>
      </c>
      <c r="K67" s="7" t="s">
        <v>212</v>
      </c>
      <c r="L67" s="25"/>
      <c r="M67" s="25"/>
      <c r="N67" s="25"/>
      <c r="O67" s="25"/>
      <c r="P67" s="25"/>
      <c r="Q67" s="25"/>
      <c r="R67" s="25"/>
      <c r="S67" s="25"/>
      <c r="T67" s="25"/>
      <c r="U67" s="25"/>
      <c r="V67" s="25"/>
      <c r="W67" s="25"/>
      <c r="X67" s="25"/>
      <c r="Y67" s="25"/>
    </row>
    <row r="68" spans="1:25" ht="30">
      <c r="A68" s="25"/>
      <c r="B68" s="7">
        <f t="shared" si="0"/>
        <v>65</v>
      </c>
      <c r="C68" s="7" t="s">
        <v>375</v>
      </c>
      <c r="D68" s="7" t="s">
        <v>218</v>
      </c>
      <c r="E68" s="7"/>
      <c r="F68" s="7"/>
      <c r="G68" s="9" t="s">
        <v>214</v>
      </c>
      <c r="H68" s="9" t="s">
        <v>308</v>
      </c>
      <c r="I68" s="9" t="s">
        <v>214</v>
      </c>
      <c r="J68" s="9" t="s">
        <v>214</v>
      </c>
      <c r="K68" s="7" t="s">
        <v>212</v>
      </c>
      <c r="L68" s="25"/>
      <c r="M68" s="25"/>
      <c r="N68" s="25"/>
      <c r="O68" s="25"/>
      <c r="P68" s="25"/>
      <c r="Q68" s="25"/>
      <c r="R68" s="25"/>
      <c r="S68" s="25"/>
      <c r="T68" s="25"/>
      <c r="U68" s="25"/>
      <c r="V68" s="25"/>
      <c r="W68" s="25"/>
      <c r="X68" s="25"/>
      <c r="Y68" s="25"/>
    </row>
    <row r="69" spans="1:25" ht="30">
      <c r="A69" s="25"/>
      <c r="B69" s="7">
        <f t="shared" si="0"/>
        <v>66</v>
      </c>
      <c r="C69" s="7" t="s">
        <v>376</v>
      </c>
      <c r="D69" s="9" t="s">
        <v>217</v>
      </c>
      <c r="E69" s="7"/>
      <c r="F69" s="7"/>
      <c r="G69" s="9" t="s">
        <v>212</v>
      </c>
      <c r="H69" s="9" t="s">
        <v>313</v>
      </c>
      <c r="I69" s="9" t="s">
        <v>214</v>
      </c>
      <c r="J69" s="9" t="s">
        <v>214</v>
      </c>
      <c r="K69" s="7" t="s">
        <v>212</v>
      </c>
      <c r="L69" s="25"/>
      <c r="M69" s="25"/>
      <c r="N69" s="25"/>
      <c r="O69" s="25"/>
      <c r="P69" s="25"/>
      <c r="Q69" s="25"/>
      <c r="R69" s="25"/>
      <c r="S69" s="25"/>
      <c r="T69" s="25"/>
      <c r="U69" s="25"/>
      <c r="V69" s="25"/>
      <c r="W69" s="25"/>
      <c r="X69" s="25"/>
      <c r="Y69" s="25"/>
    </row>
    <row r="70" spans="1:25" ht="30">
      <c r="A70" s="25"/>
      <c r="B70" s="7">
        <f t="shared" si="0"/>
        <v>67</v>
      </c>
      <c r="C70" s="7" t="s">
        <v>377</v>
      </c>
      <c r="D70" s="9" t="s">
        <v>217</v>
      </c>
      <c r="E70" s="7"/>
      <c r="F70" s="7"/>
      <c r="G70" s="9" t="s">
        <v>212</v>
      </c>
      <c r="H70" s="9" t="s">
        <v>313</v>
      </c>
      <c r="I70" s="9" t="s">
        <v>214</v>
      </c>
      <c r="J70" s="9" t="s">
        <v>214</v>
      </c>
      <c r="K70" s="7" t="s">
        <v>212</v>
      </c>
      <c r="L70" s="25"/>
      <c r="M70" s="25"/>
      <c r="N70" s="25"/>
      <c r="O70" s="25"/>
      <c r="P70" s="25"/>
      <c r="Q70" s="25"/>
      <c r="R70" s="25"/>
      <c r="S70" s="25"/>
      <c r="T70" s="25"/>
      <c r="U70" s="25"/>
      <c r="V70" s="25"/>
      <c r="W70" s="25"/>
      <c r="X70" s="25"/>
      <c r="Y70" s="25"/>
    </row>
    <row r="71" spans="1:25" ht="30">
      <c r="A71" s="25"/>
      <c r="B71" s="228">
        <f t="shared" si="0"/>
        <v>68</v>
      </c>
      <c r="C71" s="228" t="s">
        <v>378</v>
      </c>
      <c r="D71" s="241" t="s">
        <v>217</v>
      </c>
      <c r="E71" s="228"/>
      <c r="F71" s="228"/>
      <c r="G71" s="241" t="s">
        <v>214</v>
      </c>
      <c r="H71" s="241" t="s">
        <v>308</v>
      </c>
      <c r="I71" s="241" t="s">
        <v>214</v>
      </c>
      <c r="J71" s="241" t="s">
        <v>214</v>
      </c>
      <c r="K71" s="7" t="s">
        <v>212</v>
      </c>
      <c r="L71" s="25"/>
      <c r="M71" s="25"/>
      <c r="N71" s="25"/>
      <c r="O71" s="25"/>
      <c r="P71" s="25"/>
      <c r="Q71" s="25"/>
      <c r="R71" s="25"/>
      <c r="S71" s="25"/>
      <c r="T71" s="25"/>
      <c r="U71" s="25"/>
      <c r="V71" s="25"/>
      <c r="W71" s="25"/>
      <c r="X71" s="25"/>
      <c r="Y71" s="25"/>
    </row>
    <row r="72" spans="1:25" ht="30">
      <c r="A72" s="25"/>
      <c r="B72" s="220">
        <f t="shared" si="0"/>
        <v>69</v>
      </c>
      <c r="C72" s="220" t="s">
        <v>243</v>
      </c>
      <c r="D72" s="220" t="s">
        <v>235</v>
      </c>
      <c r="E72" s="220"/>
      <c r="F72" s="220"/>
      <c r="G72" s="384" t="s">
        <v>214</v>
      </c>
      <c r="H72" s="384" t="s">
        <v>313</v>
      </c>
      <c r="I72" s="384" t="s">
        <v>212</v>
      </c>
      <c r="J72" s="384" t="s">
        <v>212</v>
      </c>
      <c r="K72" s="7" t="s">
        <v>212</v>
      </c>
      <c r="L72" s="25"/>
      <c r="M72" s="25"/>
      <c r="N72" s="25"/>
      <c r="O72" s="25"/>
      <c r="P72" s="25"/>
      <c r="Q72" s="25"/>
      <c r="R72" s="25"/>
      <c r="S72" s="25"/>
      <c r="T72" s="25"/>
      <c r="U72" s="25"/>
      <c r="V72" s="25"/>
      <c r="W72" s="25"/>
      <c r="X72" s="25"/>
      <c r="Y72" s="25"/>
    </row>
    <row r="73" spans="1:25" ht="30">
      <c r="A73" s="25"/>
      <c r="B73" s="7">
        <f t="shared" si="0"/>
        <v>70</v>
      </c>
      <c r="C73" s="7" t="s">
        <v>244</v>
      </c>
      <c r="D73" s="7" t="s">
        <v>235</v>
      </c>
      <c r="E73" s="7"/>
      <c r="F73" s="7"/>
      <c r="G73" s="9" t="s">
        <v>214</v>
      </c>
      <c r="H73" s="9" t="s">
        <v>313</v>
      </c>
      <c r="I73" s="9" t="s">
        <v>212</v>
      </c>
      <c r="J73" s="9" t="s">
        <v>212</v>
      </c>
      <c r="K73" s="7" t="s">
        <v>212</v>
      </c>
      <c r="L73" s="25"/>
      <c r="M73" s="25"/>
      <c r="N73" s="25"/>
      <c r="O73" s="25"/>
      <c r="P73" s="25"/>
      <c r="Q73" s="25"/>
      <c r="R73" s="25"/>
      <c r="S73" s="25"/>
      <c r="T73" s="25"/>
      <c r="U73" s="25"/>
      <c r="V73" s="25"/>
      <c r="W73" s="25"/>
      <c r="X73" s="25"/>
      <c r="Y73" s="25"/>
    </row>
    <row r="74" spans="1:25" ht="30">
      <c r="A74" s="25"/>
      <c r="B74" s="7">
        <f t="shared" si="0"/>
        <v>71</v>
      </c>
      <c r="C74" s="7" t="s">
        <v>245</v>
      </c>
      <c r="D74" s="7" t="s">
        <v>235</v>
      </c>
      <c r="E74" s="7"/>
      <c r="F74" s="7"/>
      <c r="G74" s="9" t="s">
        <v>214</v>
      </c>
      <c r="H74" s="9" t="s">
        <v>313</v>
      </c>
      <c r="I74" s="9" t="s">
        <v>212</v>
      </c>
      <c r="J74" s="9" t="s">
        <v>212</v>
      </c>
      <c r="K74" s="7" t="s">
        <v>212</v>
      </c>
      <c r="L74" s="25"/>
      <c r="M74" s="25"/>
      <c r="N74" s="25"/>
      <c r="O74" s="25"/>
      <c r="P74" s="25"/>
      <c r="Q74" s="25"/>
      <c r="R74" s="25"/>
      <c r="S74" s="25"/>
      <c r="T74" s="25"/>
      <c r="U74" s="25"/>
      <c r="V74" s="25"/>
      <c r="W74" s="25"/>
      <c r="X74" s="25"/>
      <c r="Y74" s="25"/>
    </row>
    <row r="75" spans="1:25" ht="30">
      <c r="A75" s="25"/>
      <c r="B75" s="7">
        <f t="shared" si="0"/>
        <v>72</v>
      </c>
      <c r="C75" s="7" t="s">
        <v>249</v>
      </c>
      <c r="D75" s="7" t="s">
        <v>235</v>
      </c>
      <c r="E75" s="7"/>
      <c r="F75" s="7"/>
      <c r="G75" s="9" t="s">
        <v>212</v>
      </c>
      <c r="H75" s="9" t="s">
        <v>313</v>
      </c>
      <c r="I75" s="9" t="s">
        <v>212</v>
      </c>
      <c r="J75" s="9" t="s">
        <v>212</v>
      </c>
      <c r="K75" s="7" t="s">
        <v>212</v>
      </c>
      <c r="L75" s="25"/>
      <c r="M75" s="25"/>
      <c r="N75" s="25"/>
      <c r="O75" s="25"/>
      <c r="P75" s="25"/>
      <c r="Q75" s="25"/>
      <c r="R75" s="25"/>
      <c r="S75" s="25"/>
      <c r="T75" s="25"/>
      <c r="U75" s="25"/>
      <c r="V75" s="25"/>
      <c r="W75" s="25"/>
      <c r="X75" s="25"/>
      <c r="Y75" s="25"/>
    </row>
    <row r="76" spans="1:25" ht="29.65" customHeight="1">
      <c r="A76" s="25"/>
      <c r="B76" s="7">
        <f t="shared" si="0"/>
        <v>73</v>
      </c>
      <c r="C76" s="7" t="s">
        <v>253</v>
      </c>
      <c r="D76" s="7" t="s">
        <v>235</v>
      </c>
      <c r="E76" s="7"/>
      <c r="F76" s="7"/>
      <c r="G76" s="9" t="s">
        <v>342</v>
      </c>
      <c r="H76" s="9" t="s">
        <v>343</v>
      </c>
      <c r="I76" s="9" t="s">
        <v>212</v>
      </c>
      <c r="J76" s="9" t="s">
        <v>212</v>
      </c>
      <c r="K76" s="7" t="s">
        <v>212</v>
      </c>
      <c r="L76" s="25"/>
      <c r="M76" s="25"/>
      <c r="N76" s="25"/>
      <c r="O76" s="25"/>
      <c r="P76" s="25"/>
      <c r="Q76" s="25"/>
      <c r="R76" s="25"/>
      <c r="S76" s="25"/>
      <c r="T76" s="25"/>
      <c r="U76" s="25"/>
      <c r="V76" s="25"/>
      <c r="W76" s="25"/>
      <c r="X76" s="25"/>
      <c r="Y76" s="25"/>
    </row>
    <row r="77" spans="1:25" ht="30">
      <c r="A77" s="25"/>
      <c r="B77" s="7">
        <f t="shared" ref="B77:B102" si="1">B76+1</f>
        <v>74</v>
      </c>
      <c r="C77" s="7" t="s">
        <v>250</v>
      </c>
      <c r="D77" s="7" t="s">
        <v>235</v>
      </c>
      <c r="E77" s="7"/>
      <c r="F77" s="7"/>
      <c r="G77" s="9" t="s">
        <v>212</v>
      </c>
      <c r="H77" s="9" t="s">
        <v>313</v>
      </c>
      <c r="I77" s="9" t="s">
        <v>212</v>
      </c>
      <c r="J77" s="9" t="s">
        <v>212</v>
      </c>
      <c r="K77" s="7" t="s">
        <v>212</v>
      </c>
      <c r="L77" s="25"/>
      <c r="M77" s="25"/>
      <c r="N77" s="25"/>
      <c r="O77" s="25"/>
      <c r="P77" s="25"/>
      <c r="Q77" s="25"/>
      <c r="R77" s="25"/>
      <c r="S77" s="25"/>
      <c r="T77" s="25"/>
      <c r="U77" s="25"/>
      <c r="V77" s="25"/>
      <c r="W77" s="25"/>
      <c r="X77" s="25"/>
      <c r="Y77" s="25"/>
    </row>
    <row r="78" spans="1:25" ht="30">
      <c r="A78" s="25"/>
      <c r="B78" s="7">
        <f t="shared" si="1"/>
        <v>75</v>
      </c>
      <c r="C78" s="7" t="s">
        <v>246</v>
      </c>
      <c r="D78" s="7" t="s">
        <v>235</v>
      </c>
      <c r="E78" s="7"/>
      <c r="F78" s="7"/>
      <c r="G78" s="9" t="s">
        <v>214</v>
      </c>
      <c r="H78" s="9" t="s">
        <v>313</v>
      </c>
      <c r="I78" s="9" t="s">
        <v>212</v>
      </c>
      <c r="J78" s="9" t="s">
        <v>212</v>
      </c>
      <c r="K78" s="7" t="s">
        <v>212</v>
      </c>
      <c r="L78" s="25"/>
      <c r="M78" s="25"/>
      <c r="N78" s="25"/>
      <c r="O78" s="25"/>
      <c r="P78" s="25"/>
      <c r="Q78" s="25"/>
      <c r="R78" s="25"/>
      <c r="S78" s="25"/>
      <c r="T78" s="25"/>
      <c r="U78" s="25"/>
      <c r="V78" s="25"/>
      <c r="W78" s="25"/>
      <c r="X78" s="25"/>
      <c r="Y78" s="25"/>
    </row>
    <row r="79" spans="1:25" ht="30">
      <c r="A79" s="25"/>
      <c r="B79" s="7">
        <f t="shared" si="1"/>
        <v>76</v>
      </c>
      <c r="C79" s="7" t="s">
        <v>251</v>
      </c>
      <c r="D79" s="7" t="s">
        <v>235</v>
      </c>
      <c r="E79" s="7"/>
      <c r="F79" s="7"/>
      <c r="G79" s="9" t="s">
        <v>212</v>
      </c>
      <c r="H79" s="9" t="s">
        <v>313</v>
      </c>
      <c r="I79" s="9" t="s">
        <v>212</v>
      </c>
      <c r="J79" s="9" t="s">
        <v>212</v>
      </c>
      <c r="K79" s="7" t="s">
        <v>212</v>
      </c>
      <c r="L79" s="25"/>
      <c r="M79" s="25"/>
      <c r="N79" s="25"/>
      <c r="O79" s="25"/>
      <c r="P79" s="25"/>
      <c r="Q79" s="25"/>
      <c r="R79" s="25"/>
      <c r="S79" s="25"/>
      <c r="T79" s="25"/>
      <c r="U79" s="25"/>
      <c r="V79" s="25"/>
      <c r="W79" s="25"/>
      <c r="X79" s="25"/>
      <c r="Y79" s="25"/>
    </row>
    <row r="80" spans="1:25" ht="30">
      <c r="A80" s="25"/>
      <c r="B80" s="228">
        <f t="shared" si="1"/>
        <v>77</v>
      </c>
      <c r="C80" s="228" t="s">
        <v>247</v>
      </c>
      <c r="D80" s="228" t="s">
        <v>235</v>
      </c>
      <c r="E80" s="228"/>
      <c r="F80" s="228"/>
      <c r="G80" s="241" t="s">
        <v>214</v>
      </c>
      <c r="H80" s="241" t="s">
        <v>313</v>
      </c>
      <c r="I80" s="241" t="s">
        <v>212</v>
      </c>
      <c r="J80" s="241" t="s">
        <v>212</v>
      </c>
      <c r="K80" s="7" t="s">
        <v>212</v>
      </c>
      <c r="L80" s="25"/>
      <c r="M80" s="25"/>
      <c r="N80" s="25"/>
      <c r="O80" s="25"/>
      <c r="P80" s="25"/>
      <c r="Q80" s="25"/>
      <c r="R80" s="25"/>
      <c r="S80" s="25"/>
      <c r="T80" s="25"/>
      <c r="U80" s="25"/>
      <c r="V80" s="25"/>
      <c r="W80" s="25"/>
      <c r="X80" s="25"/>
      <c r="Y80" s="25"/>
    </row>
    <row r="81" spans="1:25">
      <c r="A81" s="25"/>
      <c r="B81" s="256">
        <f t="shared" si="1"/>
        <v>78</v>
      </c>
      <c r="C81" s="256" t="s">
        <v>270</v>
      </c>
      <c r="D81" s="256" t="s">
        <v>379</v>
      </c>
      <c r="E81" s="256"/>
      <c r="F81" s="256"/>
      <c r="G81" s="256" t="s">
        <v>214</v>
      </c>
      <c r="H81" s="546" t="s">
        <v>380</v>
      </c>
      <c r="I81" s="256" t="s">
        <v>214</v>
      </c>
      <c r="J81" s="238" t="s">
        <v>212</v>
      </c>
      <c r="K81" s="7" t="s">
        <v>212</v>
      </c>
      <c r="L81" s="25"/>
      <c r="M81" s="25"/>
      <c r="N81" s="25"/>
      <c r="O81" s="25"/>
      <c r="P81" s="25"/>
      <c r="Q81" s="25"/>
      <c r="R81" s="25"/>
      <c r="S81" s="25"/>
      <c r="T81" s="25"/>
      <c r="U81" s="25"/>
      <c r="V81" s="25"/>
      <c r="W81" s="25"/>
      <c r="X81" s="25"/>
      <c r="Y81" s="25"/>
    </row>
    <row r="82" spans="1:25">
      <c r="A82" s="25"/>
      <c r="B82" s="7">
        <f t="shared" si="1"/>
        <v>79</v>
      </c>
      <c r="C82" s="7" t="s">
        <v>269</v>
      </c>
      <c r="D82" s="7" t="s">
        <v>379</v>
      </c>
      <c r="E82" s="7"/>
      <c r="F82" s="7"/>
      <c r="G82" s="7" t="s">
        <v>214</v>
      </c>
      <c r="H82" s="9" t="s">
        <v>380</v>
      </c>
      <c r="I82" s="7" t="s">
        <v>214</v>
      </c>
      <c r="J82" s="9" t="s">
        <v>212</v>
      </c>
      <c r="K82" s="7" t="s">
        <v>212</v>
      </c>
      <c r="L82" s="25"/>
      <c r="M82" s="25"/>
      <c r="N82" s="25"/>
      <c r="O82" s="25"/>
      <c r="P82" s="25"/>
      <c r="Q82" s="25"/>
      <c r="R82" s="25"/>
      <c r="S82" s="25"/>
      <c r="T82" s="25"/>
      <c r="U82" s="25"/>
      <c r="V82" s="25"/>
      <c r="W82" s="25"/>
      <c r="X82" s="25"/>
      <c r="Y82" s="25"/>
    </row>
    <row r="83" spans="1:25" ht="31.15" customHeight="1">
      <c r="A83" s="25"/>
      <c r="B83" s="228">
        <f t="shared" si="1"/>
        <v>80</v>
      </c>
      <c r="C83" s="228" t="s">
        <v>271</v>
      </c>
      <c r="D83" s="228" t="s">
        <v>379</v>
      </c>
      <c r="E83" s="228"/>
      <c r="F83" s="228"/>
      <c r="G83" s="228" t="s">
        <v>212</v>
      </c>
      <c r="H83" s="547" t="s">
        <v>381</v>
      </c>
      <c r="I83" s="228" t="s">
        <v>214</v>
      </c>
      <c r="J83" s="241" t="s">
        <v>382</v>
      </c>
      <c r="K83" s="7" t="s">
        <v>212</v>
      </c>
      <c r="L83" s="25"/>
      <c r="M83" s="25"/>
      <c r="N83" s="25"/>
      <c r="O83" s="25"/>
      <c r="P83" s="25"/>
      <c r="Q83" s="25"/>
      <c r="R83" s="25"/>
      <c r="S83" s="25"/>
      <c r="T83" s="25"/>
      <c r="U83" s="25"/>
      <c r="V83" s="25"/>
      <c r="W83" s="25"/>
      <c r="X83" s="25"/>
      <c r="Y83" s="25"/>
    </row>
    <row r="84" spans="1:25">
      <c r="A84" s="25"/>
      <c r="B84" s="220">
        <f t="shared" si="1"/>
        <v>81</v>
      </c>
      <c r="C84" s="220"/>
      <c r="D84" s="220"/>
      <c r="E84" s="545"/>
      <c r="F84" s="545"/>
      <c r="G84" s="220"/>
      <c r="H84" s="384"/>
      <c r="I84" s="545"/>
      <c r="J84" s="545"/>
      <c r="K84" s="7" t="s">
        <v>212</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mergeCells count="5">
    <mergeCell ref="C2:F2"/>
    <mergeCell ref="G2:H2"/>
    <mergeCell ref="I2:J2"/>
    <mergeCell ref="B2:B3"/>
    <mergeCell ref="B1:J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5E5C"/>
  </sheetPr>
  <dimension ref="A1:XEZ136"/>
  <sheetViews>
    <sheetView workbookViewId="0"/>
  </sheetViews>
  <sheetFormatPr defaultColWidth="9.28515625" defaultRowHeight="15"/>
  <cols>
    <col min="1" max="1" width="8.7109375" customWidth="1"/>
    <col min="2" max="2" width="79.28515625" customWidth="1"/>
    <col min="3" max="3" width="24.140625" customWidth="1"/>
    <col min="4" max="4" width="31.140625" customWidth="1"/>
    <col min="5" max="5" width="114.5703125" customWidth="1"/>
    <col min="6" max="6" width="35.7109375" customWidth="1"/>
    <col min="7" max="11" width="17.7109375" customWidth="1"/>
    <col min="12" max="13" width="41.140625" customWidth="1"/>
    <col min="14" max="14" width="96" customWidth="1"/>
    <col min="15" max="15" width="9.28515625" customWidth="1"/>
    <col min="16" max="19" width="9.28515625" hidden="1" customWidth="1"/>
    <col min="20" max="16380" width="14.42578125" hidden="1" customWidth="1"/>
    <col min="16381" max="16383" width="14.42578125" style="25" customWidth="1"/>
    <col min="16384" max="16384" width="9.28515625" style="25"/>
  </cols>
  <sheetData>
    <row r="1" spans="1:20">
      <c r="A1" s="25"/>
      <c r="B1" s="1018" t="s">
        <v>383</v>
      </c>
      <c r="C1" s="1019"/>
      <c r="D1" s="1019"/>
      <c r="E1" s="1019"/>
      <c r="F1" s="1019"/>
      <c r="G1" s="1019"/>
      <c r="H1" s="1019"/>
      <c r="I1" s="1019"/>
      <c r="J1" s="1019"/>
      <c r="K1" s="1019"/>
      <c r="L1" s="1019"/>
      <c r="M1" s="1019"/>
      <c r="N1" s="1020"/>
      <c r="O1" s="25"/>
      <c r="P1" s="25"/>
      <c r="Q1" s="25"/>
      <c r="R1" s="25"/>
      <c r="S1" s="25"/>
      <c r="T1" s="25"/>
    </row>
    <row r="2" spans="1:20">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268</v>
      </c>
      <c r="C3" s="1027" t="s">
        <v>384</v>
      </c>
      <c r="D3" s="1028"/>
      <c r="E3" s="1028"/>
      <c r="F3" s="1029"/>
      <c r="G3" s="1043" t="s">
        <v>385</v>
      </c>
      <c r="H3" s="1044"/>
      <c r="I3" s="1044"/>
      <c r="J3" s="1044"/>
      <c r="K3" s="1044"/>
      <c r="L3" s="1044"/>
      <c r="M3" s="1045"/>
      <c r="N3" s="1024" t="s">
        <v>386</v>
      </c>
      <c r="O3" s="25"/>
      <c r="P3" s="25"/>
      <c r="Q3" s="25"/>
      <c r="R3" s="25"/>
      <c r="S3" s="25"/>
      <c r="T3" s="25"/>
    </row>
    <row r="4" spans="1:20" ht="98.1" customHeight="1">
      <c r="A4" s="25"/>
      <c r="B4" s="1031"/>
      <c r="C4" s="1041" t="s">
        <v>387</v>
      </c>
      <c r="D4" s="1039" t="s">
        <v>388</v>
      </c>
      <c r="E4" s="1039" t="s">
        <v>389</v>
      </c>
      <c r="F4" s="1037" t="s">
        <v>390</v>
      </c>
      <c r="G4" s="63" t="s">
        <v>391</v>
      </c>
      <c r="H4" s="219" t="s">
        <v>392</v>
      </c>
      <c r="I4" s="219" t="s">
        <v>393</v>
      </c>
      <c r="J4" s="219" t="s">
        <v>394</v>
      </c>
      <c r="K4" s="219" t="s">
        <v>395</v>
      </c>
      <c r="L4" s="1035" t="s">
        <v>396</v>
      </c>
      <c r="M4" s="1033" t="s">
        <v>397</v>
      </c>
      <c r="N4" s="1025"/>
      <c r="O4" s="25"/>
      <c r="P4" s="25"/>
      <c r="Q4" s="25"/>
      <c r="R4" s="25"/>
      <c r="S4" s="25"/>
      <c r="T4" s="25"/>
    </row>
    <row r="5" spans="1:20" ht="65.650000000000006" customHeight="1">
      <c r="A5" s="25"/>
      <c r="B5" s="1032"/>
      <c r="C5" s="1042"/>
      <c r="D5" s="1040"/>
      <c r="E5" s="1040"/>
      <c r="F5" s="1038"/>
      <c r="G5" s="222" t="s">
        <v>124</v>
      </c>
      <c r="H5" s="221" t="s">
        <v>398</v>
      </c>
      <c r="I5" s="221" t="s">
        <v>399</v>
      </c>
      <c r="J5" s="221" t="s">
        <v>400</v>
      </c>
      <c r="K5" s="221" t="s">
        <v>401</v>
      </c>
      <c r="L5" s="1036"/>
      <c r="M5" s="1034"/>
      <c r="N5" s="1026"/>
      <c r="O5" s="25"/>
      <c r="P5" s="25"/>
      <c r="Q5" s="25"/>
      <c r="R5" s="25"/>
      <c r="S5" s="25"/>
      <c r="T5" s="25"/>
    </row>
    <row r="6" spans="1:20" ht="30">
      <c r="A6" s="25"/>
      <c r="B6" s="335" t="s">
        <v>307</v>
      </c>
      <c r="C6" s="333" t="s">
        <v>400</v>
      </c>
      <c r="D6" s="238" t="s">
        <v>400</v>
      </c>
      <c r="E6" s="338" t="s">
        <v>402</v>
      </c>
      <c r="F6" s="336" t="s">
        <v>400</v>
      </c>
      <c r="G6" s="223" t="s">
        <v>403</v>
      </c>
      <c r="H6" s="220" t="s">
        <v>403</v>
      </c>
      <c r="I6" s="220" t="s">
        <v>403</v>
      </c>
      <c r="J6" s="220">
        <v>1</v>
      </c>
      <c r="K6" s="7" t="s">
        <v>403</v>
      </c>
      <c r="L6" s="220" t="s">
        <v>403</v>
      </c>
      <c r="M6" s="224">
        <v>1</v>
      </c>
      <c r="N6" s="233" t="s">
        <v>402</v>
      </c>
      <c r="O6" s="25"/>
      <c r="P6" s="25"/>
      <c r="Q6" s="25"/>
      <c r="R6" s="25"/>
      <c r="S6" s="25"/>
      <c r="T6" s="25"/>
    </row>
    <row r="7" spans="1:20" ht="30">
      <c r="A7" s="25"/>
      <c r="B7" s="230" t="s">
        <v>309</v>
      </c>
      <c r="C7" s="334" t="s">
        <v>400</v>
      </c>
      <c r="D7" s="9" t="s">
        <v>400</v>
      </c>
      <c r="E7" s="232" t="s">
        <v>402</v>
      </c>
      <c r="F7" s="336" t="s">
        <v>400</v>
      </c>
      <c r="G7" s="225" t="s">
        <v>403</v>
      </c>
      <c r="H7" s="7" t="s">
        <v>403</v>
      </c>
      <c r="I7" s="7" t="s">
        <v>403</v>
      </c>
      <c r="J7" s="7">
        <v>1</v>
      </c>
      <c r="K7" s="7" t="s">
        <v>403</v>
      </c>
      <c r="L7" s="7" t="s">
        <v>403</v>
      </c>
      <c r="M7" s="226">
        <v>1</v>
      </c>
      <c r="N7" s="234" t="s">
        <v>402</v>
      </c>
      <c r="O7" s="25"/>
      <c r="P7" s="25"/>
      <c r="Q7" s="25"/>
      <c r="R7" s="25"/>
      <c r="S7" s="25"/>
      <c r="T7" s="25"/>
    </row>
    <row r="8" spans="1:20" ht="30">
      <c r="A8" s="25"/>
      <c r="B8" s="230" t="s">
        <v>310</v>
      </c>
      <c r="C8" s="334" t="s">
        <v>400</v>
      </c>
      <c r="D8" s="9" t="s">
        <v>400</v>
      </c>
      <c r="E8" s="232" t="s">
        <v>402</v>
      </c>
      <c r="F8" s="336" t="s">
        <v>400</v>
      </c>
      <c r="G8" s="225" t="s">
        <v>403</v>
      </c>
      <c r="H8" s="7" t="s">
        <v>403</v>
      </c>
      <c r="I8" s="7" t="s">
        <v>403</v>
      </c>
      <c r="J8" s="7">
        <v>1</v>
      </c>
      <c r="K8" s="7" t="s">
        <v>403</v>
      </c>
      <c r="L8" s="7" t="s">
        <v>403</v>
      </c>
      <c r="M8" s="226">
        <v>1</v>
      </c>
      <c r="N8" s="234" t="s">
        <v>402</v>
      </c>
      <c r="O8" s="25"/>
      <c r="P8" s="25"/>
      <c r="Q8" s="25"/>
      <c r="R8" s="25"/>
      <c r="S8" s="25"/>
      <c r="T8" s="25"/>
    </row>
    <row r="9" spans="1:20" ht="30">
      <c r="A9" s="25"/>
      <c r="B9" s="230" t="s">
        <v>311</v>
      </c>
      <c r="C9" s="334" t="s">
        <v>400</v>
      </c>
      <c r="D9" s="9" t="s">
        <v>400</v>
      </c>
      <c r="E9" s="232" t="s">
        <v>402</v>
      </c>
      <c r="F9" s="336" t="s">
        <v>400</v>
      </c>
      <c r="G9" s="225" t="s">
        <v>403</v>
      </c>
      <c r="H9" s="7" t="s">
        <v>403</v>
      </c>
      <c r="I9" s="7" t="s">
        <v>403</v>
      </c>
      <c r="J9" s="7">
        <v>1</v>
      </c>
      <c r="K9" s="7" t="s">
        <v>403</v>
      </c>
      <c r="L9" s="7" t="s">
        <v>403</v>
      </c>
      <c r="M9" s="226">
        <v>1</v>
      </c>
      <c r="N9" s="234" t="s">
        <v>402</v>
      </c>
      <c r="O9" s="25"/>
      <c r="P9" s="25"/>
      <c r="Q9" s="25"/>
      <c r="R9" s="25"/>
      <c r="S9" s="25"/>
      <c r="T9" s="25"/>
    </row>
    <row r="10" spans="1:20" ht="30">
      <c r="A10" s="25"/>
      <c r="B10" s="230" t="s">
        <v>312</v>
      </c>
      <c r="C10" s="334" t="s">
        <v>400</v>
      </c>
      <c r="D10" s="9" t="s">
        <v>400</v>
      </c>
      <c r="E10" s="232" t="s">
        <v>404</v>
      </c>
      <c r="F10" s="237" t="s">
        <v>403</v>
      </c>
      <c r="G10" s="225" t="s">
        <v>403</v>
      </c>
      <c r="H10" s="7" t="s">
        <v>403</v>
      </c>
      <c r="I10" s="7" t="s">
        <v>403</v>
      </c>
      <c r="J10" s="7">
        <v>1</v>
      </c>
      <c r="K10" s="7" t="s">
        <v>403</v>
      </c>
      <c r="L10" s="7" t="s">
        <v>403</v>
      </c>
      <c r="M10" s="226" t="s">
        <v>403</v>
      </c>
      <c r="N10" s="234" t="s">
        <v>405</v>
      </c>
      <c r="O10" s="25"/>
      <c r="P10" s="25"/>
      <c r="Q10" s="25"/>
      <c r="R10" s="25"/>
      <c r="S10" s="25"/>
      <c r="T10" s="25"/>
    </row>
    <row r="11" spans="1:20" ht="30">
      <c r="A11" s="25"/>
      <c r="B11" s="230" t="s">
        <v>314</v>
      </c>
      <c r="C11" s="334" t="s">
        <v>400</v>
      </c>
      <c r="D11" s="9" t="s">
        <v>400</v>
      </c>
      <c r="E11" s="232" t="s">
        <v>402</v>
      </c>
      <c r="F11" s="336" t="s">
        <v>400</v>
      </c>
      <c r="G11" s="225" t="s">
        <v>403</v>
      </c>
      <c r="H11" s="7" t="s">
        <v>403</v>
      </c>
      <c r="I11" s="7" t="s">
        <v>403</v>
      </c>
      <c r="J11" s="7">
        <v>1</v>
      </c>
      <c r="K11" s="7" t="s">
        <v>403</v>
      </c>
      <c r="L11" s="7" t="s">
        <v>403</v>
      </c>
      <c r="M11" s="226" t="s">
        <v>403</v>
      </c>
      <c r="N11" s="234" t="s">
        <v>402</v>
      </c>
      <c r="O11" s="25"/>
      <c r="P11" s="25"/>
      <c r="Q11" s="25"/>
      <c r="R11" s="25"/>
      <c r="S11" s="25"/>
      <c r="T11" s="25"/>
    </row>
    <row r="12" spans="1:20" ht="30">
      <c r="A12" s="25"/>
      <c r="B12" s="230" t="s">
        <v>315</v>
      </c>
      <c r="C12" s="334" t="s">
        <v>400</v>
      </c>
      <c r="D12" s="9" t="s">
        <v>400</v>
      </c>
      <c r="E12" s="232" t="s">
        <v>404</v>
      </c>
      <c r="F12" s="237" t="s">
        <v>403</v>
      </c>
      <c r="G12" s="225" t="s">
        <v>403</v>
      </c>
      <c r="H12" s="7" t="s">
        <v>403</v>
      </c>
      <c r="I12" s="7" t="s">
        <v>403</v>
      </c>
      <c r="J12" s="7">
        <v>1</v>
      </c>
      <c r="K12" s="7" t="s">
        <v>403</v>
      </c>
      <c r="L12" s="7" t="s">
        <v>403</v>
      </c>
      <c r="M12" s="226" t="s">
        <v>403</v>
      </c>
      <c r="N12" s="234" t="s">
        <v>405</v>
      </c>
      <c r="O12" s="25"/>
      <c r="P12" s="25"/>
      <c r="Q12" s="25"/>
      <c r="R12" s="25"/>
      <c r="S12" s="25"/>
      <c r="T12" s="25"/>
    </row>
    <row r="13" spans="1:20" ht="30">
      <c r="A13" s="25"/>
      <c r="B13" s="230" t="s">
        <v>316</v>
      </c>
      <c r="C13" s="334" t="s">
        <v>400</v>
      </c>
      <c r="D13" s="9" t="s">
        <v>400</v>
      </c>
      <c r="E13" s="232" t="s">
        <v>404</v>
      </c>
      <c r="F13" s="237" t="s">
        <v>403</v>
      </c>
      <c r="G13" s="225" t="s">
        <v>403</v>
      </c>
      <c r="H13" s="7" t="s">
        <v>403</v>
      </c>
      <c r="I13" s="7" t="s">
        <v>403</v>
      </c>
      <c r="J13" s="7">
        <v>1</v>
      </c>
      <c r="K13" s="7" t="s">
        <v>403</v>
      </c>
      <c r="L13" s="7" t="s">
        <v>403</v>
      </c>
      <c r="M13" s="226" t="s">
        <v>403</v>
      </c>
      <c r="N13" s="234" t="s">
        <v>405</v>
      </c>
      <c r="O13" s="25"/>
      <c r="P13" s="25"/>
      <c r="Q13" s="25"/>
      <c r="R13" s="25"/>
      <c r="S13" s="25"/>
      <c r="T13" s="25"/>
    </row>
    <row r="14" spans="1:20" ht="30">
      <c r="A14" s="25"/>
      <c r="B14" s="230" t="s">
        <v>317</v>
      </c>
      <c r="C14" s="334" t="s">
        <v>400</v>
      </c>
      <c r="D14" s="9" t="s">
        <v>400</v>
      </c>
      <c r="E14" s="232" t="s">
        <v>404</v>
      </c>
      <c r="F14" s="237" t="s">
        <v>403</v>
      </c>
      <c r="G14" s="225" t="s">
        <v>403</v>
      </c>
      <c r="H14" s="7" t="s">
        <v>403</v>
      </c>
      <c r="I14" s="7" t="s">
        <v>403</v>
      </c>
      <c r="J14" s="7">
        <v>1</v>
      </c>
      <c r="K14" s="7" t="s">
        <v>403</v>
      </c>
      <c r="L14" s="7" t="s">
        <v>403</v>
      </c>
      <c r="M14" s="226" t="s">
        <v>403</v>
      </c>
      <c r="N14" s="234" t="s">
        <v>405</v>
      </c>
      <c r="O14" s="25"/>
      <c r="P14" s="25"/>
      <c r="Q14" s="25"/>
      <c r="R14" s="25"/>
      <c r="S14" s="25"/>
      <c r="T14" s="25"/>
    </row>
    <row r="15" spans="1:20" ht="30">
      <c r="A15" s="25"/>
      <c r="B15" s="230" t="s">
        <v>318</v>
      </c>
      <c r="C15" s="334" t="s">
        <v>400</v>
      </c>
      <c r="D15" s="9" t="s">
        <v>400</v>
      </c>
      <c r="E15" s="232" t="s">
        <v>406</v>
      </c>
      <c r="F15" s="237" t="s">
        <v>403</v>
      </c>
      <c r="G15" s="225" t="s">
        <v>403</v>
      </c>
      <c r="H15" s="7" t="s">
        <v>403</v>
      </c>
      <c r="I15" s="7" t="s">
        <v>403</v>
      </c>
      <c r="J15" s="7">
        <v>1</v>
      </c>
      <c r="K15" s="7" t="s">
        <v>403</v>
      </c>
      <c r="L15" s="7" t="s">
        <v>403</v>
      </c>
      <c r="M15" s="226" t="s">
        <v>403</v>
      </c>
      <c r="N15" s="234" t="s">
        <v>407</v>
      </c>
      <c r="O15" s="25"/>
      <c r="P15" s="25"/>
      <c r="Q15" s="25"/>
      <c r="R15" s="25"/>
      <c r="S15" s="25"/>
      <c r="T15" s="25"/>
    </row>
    <row r="16" spans="1:20" ht="30">
      <c r="A16" s="25"/>
      <c r="B16" s="230" t="s">
        <v>319</v>
      </c>
      <c r="C16" s="334" t="s">
        <v>400</v>
      </c>
      <c r="D16" s="9" t="s">
        <v>400</v>
      </c>
      <c r="E16" s="232" t="s">
        <v>406</v>
      </c>
      <c r="F16" s="237" t="s">
        <v>403</v>
      </c>
      <c r="G16" s="225" t="s">
        <v>403</v>
      </c>
      <c r="H16" s="7" t="s">
        <v>403</v>
      </c>
      <c r="I16" s="7" t="s">
        <v>403</v>
      </c>
      <c r="J16" s="7">
        <v>1</v>
      </c>
      <c r="K16" s="7" t="s">
        <v>403</v>
      </c>
      <c r="L16" s="7" t="s">
        <v>403</v>
      </c>
      <c r="M16" s="226" t="s">
        <v>403</v>
      </c>
      <c r="N16" s="234" t="s">
        <v>407</v>
      </c>
      <c r="O16" s="25"/>
      <c r="P16" s="25"/>
      <c r="Q16" s="25"/>
      <c r="R16" s="25"/>
      <c r="S16" s="25"/>
      <c r="T16" s="25"/>
    </row>
    <row r="17" spans="1:20">
      <c r="A17" s="25"/>
      <c r="B17" s="230" t="s">
        <v>320</v>
      </c>
      <c r="C17" s="225" t="s">
        <v>124</v>
      </c>
      <c r="D17" s="7" t="s">
        <v>408</v>
      </c>
      <c r="E17" s="226" t="s">
        <v>409</v>
      </c>
      <c r="F17" s="237" t="s">
        <v>398</v>
      </c>
      <c r="G17" s="225">
        <v>4</v>
      </c>
      <c r="H17" s="7">
        <v>7</v>
      </c>
      <c r="I17" s="7" t="s">
        <v>403</v>
      </c>
      <c r="J17" s="7" t="s">
        <v>403</v>
      </c>
      <c r="K17" s="7" t="s">
        <v>403</v>
      </c>
      <c r="L17" s="7">
        <v>10</v>
      </c>
      <c r="M17" s="226">
        <v>15</v>
      </c>
      <c r="N17" s="234" t="s">
        <v>410</v>
      </c>
      <c r="O17" s="25"/>
      <c r="P17" s="25"/>
      <c r="Q17" s="25"/>
      <c r="R17" s="25"/>
      <c r="S17" s="25"/>
      <c r="T17" s="25"/>
    </row>
    <row r="18" spans="1:20">
      <c r="A18" s="25"/>
      <c r="B18" s="230" t="s">
        <v>321</v>
      </c>
      <c r="C18" s="225" t="s">
        <v>124</v>
      </c>
      <c r="D18" s="7" t="s">
        <v>408</v>
      </c>
      <c r="E18" s="226" t="s">
        <v>321</v>
      </c>
      <c r="F18" s="237" t="s">
        <v>398</v>
      </c>
      <c r="G18" s="225">
        <v>10</v>
      </c>
      <c r="H18" s="7">
        <v>15</v>
      </c>
      <c r="I18" s="7" t="s">
        <v>403</v>
      </c>
      <c r="J18" s="7" t="s">
        <v>403</v>
      </c>
      <c r="K18" s="7" t="s">
        <v>403</v>
      </c>
      <c r="L18" s="7">
        <v>10</v>
      </c>
      <c r="M18" s="226">
        <v>15</v>
      </c>
      <c r="N18" s="234" t="s">
        <v>411</v>
      </c>
      <c r="O18" s="25"/>
      <c r="P18" s="25"/>
      <c r="Q18" s="25"/>
      <c r="R18" s="25"/>
      <c r="S18" s="25"/>
      <c r="T18" s="25"/>
    </row>
    <row r="19" spans="1:20">
      <c r="A19" s="25"/>
      <c r="B19" s="230" t="s">
        <v>322</v>
      </c>
      <c r="C19" s="225" t="s">
        <v>124</v>
      </c>
      <c r="D19" s="7" t="s">
        <v>408</v>
      </c>
      <c r="E19" s="226" t="s">
        <v>322</v>
      </c>
      <c r="F19" s="237" t="s">
        <v>398</v>
      </c>
      <c r="G19" s="225">
        <v>5</v>
      </c>
      <c r="H19" s="7">
        <v>10</v>
      </c>
      <c r="I19" s="7" t="s">
        <v>403</v>
      </c>
      <c r="J19" s="7" t="s">
        <v>403</v>
      </c>
      <c r="K19" s="7" t="s">
        <v>403</v>
      </c>
      <c r="L19" s="7">
        <v>10</v>
      </c>
      <c r="M19" s="226">
        <v>15</v>
      </c>
      <c r="N19" s="234" t="s">
        <v>411</v>
      </c>
      <c r="O19" s="25"/>
      <c r="P19" s="25"/>
      <c r="Q19" s="25"/>
      <c r="R19" s="25"/>
      <c r="S19" s="25"/>
      <c r="T19" s="25"/>
    </row>
    <row r="20" spans="1:20">
      <c r="A20" s="25"/>
      <c r="B20" s="230" t="s">
        <v>323</v>
      </c>
      <c r="C20" s="225" t="s">
        <v>124</v>
      </c>
      <c r="D20" s="7" t="s">
        <v>408</v>
      </c>
      <c r="E20" s="226" t="s">
        <v>323</v>
      </c>
      <c r="F20" s="237" t="s">
        <v>398</v>
      </c>
      <c r="G20" s="225">
        <v>10</v>
      </c>
      <c r="H20" s="7">
        <v>15</v>
      </c>
      <c r="I20" s="7" t="s">
        <v>403</v>
      </c>
      <c r="J20" s="7" t="s">
        <v>403</v>
      </c>
      <c r="K20" s="7" t="s">
        <v>403</v>
      </c>
      <c r="L20" s="7">
        <v>10</v>
      </c>
      <c r="M20" s="226">
        <v>15</v>
      </c>
      <c r="N20" s="234" t="s">
        <v>411</v>
      </c>
      <c r="O20" s="25"/>
      <c r="P20" s="25"/>
      <c r="Q20" s="25"/>
      <c r="R20" s="25"/>
      <c r="S20" s="25"/>
      <c r="T20" s="25"/>
    </row>
    <row r="21" spans="1:20">
      <c r="A21" s="25"/>
      <c r="B21" s="230" t="s">
        <v>324</v>
      </c>
      <c r="C21" s="225" t="s">
        <v>124</v>
      </c>
      <c r="D21" s="7" t="s">
        <v>408</v>
      </c>
      <c r="E21" s="226" t="s">
        <v>324</v>
      </c>
      <c r="F21" s="237" t="s">
        <v>398</v>
      </c>
      <c r="G21" s="225">
        <v>5</v>
      </c>
      <c r="H21" s="7">
        <v>10</v>
      </c>
      <c r="I21" s="7" t="s">
        <v>403</v>
      </c>
      <c r="J21" s="7" t="s">
        <v>403</v>
      </c>
      <c r="K21" s="7" t="s">
        <v>403</v>
      </c>
      <c r="L21" s="7">
        <v>3</v>
      </c>
      <c r="M21" s="226">
        <v>10</v>
      </c>
      <c r="N21" s="234" t="s">
        <v>411</v>
      </c>
      <c r="O21" s="25"/>
      <c r="P21" s="25"/>
      <c r="Q21" s="25"/>
      <c r="R21" s="25"/>
      <c r="S21" s="25"/>
      <c r="T21" s="25"/>
    </row>
    <row r="22" spans="1:20" ht="30">
      <c r="A22" s="25"/>
      <c r="B22" s="230" t="s">
        <v>325</v>
      </c>
      <c r="C22" s="334" t="s">
        <v>400</v>
      </c>
      <c r="D22" s="9" t="s">
        <v>400</v>
      </c>
      <c r="E22" s="226" t="s">
        <v>412</v>
      </c>
      <c r="F22" s="237" t="s">
        <v>403</v>
      </c>
      <c r="G22" s="225" t="s">
        <v>403</v>
      </c>
      <c r="H22" s="7" t="s">
        <v>403</v>
      </c>
      <c r="I22" s="7" t="s">
        <v>403</v>
      </c>
      <c r="J22" s="7">
        <v>1</v>
      </c>
      <c r="K22" s="7" t="s">
        <v>403</v>
      </c>
      <c r="L22" s="7" t="s">
        <v>403</v>
      </c>
      <c r="M22" s="226" t="s">
        <v>403</v>
      </c>
      <c r="N22" s="234" t="s">
        <v>413</v>
      </c>
      <c r="O22" s="25"/>
      <c r="P22" s="25"/>
      <c r="Q22" s="25"/>
      <c r="R22" s="25"/>
      <c r="S22" s="25"/>
      <c r="T22" s="25"/>
    </row>
    <row r="23" spans="1:20">
      <c r="A23" s="25"/>
      <c r="B23" s="230" t="s">
        <v>326</v>
      </c>
      <c r="C23" s="225" t="s">
        <v>124</v>
      </c>
      <c r="D23" s="7" t="s">
        <v>408</v>
      </c>
      <c r="E23" s="226" t="s">
        <v>326</v>
      </c>
      <c r="F23" s="237" t="s">
        <v>398</v>
      </c>
      <c r="G23" s="225">
        <v>5</v>
      </c>
      <c r="H23" s="7">
        <v>10</v>
      </c>
      <c r="I23" s="7" t="s">
        <v>403</v>
      </c>
      <c r="J23" s="7" t="s">
        <v>403</v>
      </c>
      <c r="K23" s="7" t="s">
        <v>403</v>
      </c>
      <c r="L23" s="7">
        <v>3</v>
      </c>
      <c r="M23" s="226">
        <v>10</v>
      </c>
      <c r="N23" s="234" t="s">
        <v>411</v>
      </c>
      <c r="O23" s="25"/>
      <c r="P23" s="25"/>
      <c r="Q23" s="25"/>
      <c r="R23" s="25"/>
      <c r="S23" s="25"/>
      <c r="T23" s="25"/>
    </row>
    <row r="24" spans="1:20">
      <c r="A24" s="25"/>
      <c r="B24" s="230" t="s">
        <v>327</v>
      </c>
      <c r="C24" s="225" t="s">
        <v>124</v>
      </c>
      <c r="D24" s="7" t="s">
        <v>408</v>
      </c>
      <c r="E24" s="226" t="s">
        <v>327</v>
      </c>
      <c r="F24" s="237" t="s">
        <v>398</v>
      </c>
      <c r="G24" s="225">
        <v>5</v>
      </c>
      <c r="H24" s="7">
        <v>10</v>
      </c>
      <c r="I24" s="7" t="s">
        <v>403</v>
      </c>
      <c r="J24" s="7" t="s">
        <v>403</v>
      </c>
      <c r="K24" s="7" t="s">
        <v>403</v>
      </c>
      <c r="L24" s="7">
        <v>3</v>
      </c>
      <c r="M24" s="226">
        <v>10</v>
      </c>
      <c r="N24" s="234" t="s">
        <v>411</v>
      </c>
      <c r="O24" s="25"/>
      <c r="P24" s="25"/>
      <c r="Q24" s="25"/>
      <c r="R24" s="25"/>
      <c r="S24" s="25"/>
      <c r="T24" s="25"/>
    </row>
    <row r="25" spans="1:20">
      <c r="A25" s="25"/>
      <c r="B25" s="230" t="s">
        <v>328</v>
      </c>
      <c r="C25" s="225" t="s">
        <v>124</v>
      </c>
      <c r="D25" s="7" t="s">
        <v>408</v>
      </c>
      <c r="E25" s="226" t="s">
        <v>328</v>
      </c>
      <c r="F25" s="237" t="s">
        <v>398</v>
      </c>
      <c r="G25" s="225">
        <v>10</v>
      </c>
      <c r="H25" s="7">
        <v>15</v>
      </c>
      <c r="I25" s="7" t="s">
        <v>403</v>
      </c>
      <c r="J25" s="7" t="s">
        <v>403</v>
      </c>
      <c r="K25" s="7" t="s">
        <v>403</v>
      </c>
      <c r="L25" s="7">
        <v>7</v>
      </c>
      <c r="M25" s="226">
        <v>15</v>
      </c>
      <c r="N25" s="234" t="s">
        <v>411</v>
      </c>
      <c r="O25" s="25"/>
      <c r="P25" s="25"/>
      <c r="Q25" s="25"/>
      <c r="R25" s="25"/>
      <c r="S25" s="25"/>
      <c r="T25" s="25"/>
    </row>
    <row r="26" spans="1:20">
      <c r="A26" s="25"/>
      <c r="B26" s="230" t="s">
        <v>329</v>
      </c>
      <c r="C26" s="225" t="s">
        <v>124</v>
      </c>
      <c r="D26" s="7" t="s">
        <v>408</v>
      </c>
      <c r="E26" s="226" t="s">
        <v>329</v>
      </c>
      <c r="F26" s="237" t="s">
        <v>398</v>
      </c>
      <c r="G26" s="225">
        <v>5</v>
      </c>
      <c r="H26" s="7">
        <v>10</v>
      </c>
      <c r="I26" s="7" t="s">
        <v>403</v>
      </c>
      <c r="J26" s="7" t="s">
        <v>403</v>
      </c>
      <c r="K26" s="7" t="s">
        <v>403</v>
      </c>
      <c r="L26" s="7">
        <v>3</v>
      </c>
      <c r="M26" s="226">
        <v>10</v>
      </c>
      <c r="N26" s="234" t="s">
        <v>411</v>
      </c>
      <c r="O26" s="25"/>
      <c r="P26" s="25"/>
      <c r="Q26" s="25"/>
      <c r="R26" s="25"/>
      <c r="S26" s="25"/>
      <c r="T26" s="25"/>
    </row>
    <row r="27" spans="1:20" ht="30">
      <c r="A27" s="25"/>
      <c r="B27" s="230" t="s">
        <v>330</v>
      </c>
      <c r="C27" s="334" t="s">
        <v>400</v>
      </c>
      <c r="D27" s="9" t="s">
        <v>400</v>
      </c>
      <c r="E27" s="226" t="s">
        <v>412</v>
      </c>
      <c r="F27" s="237" t="s">
        <v>403</v>
      </c>
      <c r="G27" s="225" t="s">
        <v>403</v>
      </c>
      <c r="H27" s="7" t="s">
        <v>403</v>
      </c>
      <c r="I27" s="7" t="s">
        <v>403</v>
      </c>
      <c r="J27" s="7">
        <v>1</v>
      </c>
      <c r="K27" s="7" t="s">
        <v>403</v>
      </c>
      <c r="L27" s="7" t="s">
        <v>403</v>
      </c>
      <c r="M27" s="226" t="s">
        <v>403</v>
      </c>
      <c r="N27" s="234" t="s">
        <v>413</v>
      </c>
      <c r="O27" s="25"/>
      <c r="P27" s="25"/>
      <c r="Q27" s="25"/>
      <c r="R27" s="25"/>
      <c r="S27" s="25"/>
      <c r="T27" s="25"/>
    </row>
    <row r="28" spans="1:20" ht="30">
      <c r="A28" s="25"/>
      <c r="B28" s="230" t="s">
        <v>331</v>
      </c>
      <c r="C28" s="334" t="s">
        <v>400</v>
      </c>
      <c r="D28" s="9" t="s">
        <v>400</v>
      </c>
      <c r="E28" s="226" t="s">
        <v>412</v>
      </c>
      <c r="F28" s="237" t="s">
        <v>403</v>
      </c>
      <c r="G28" s="225" t="s">
        <v>403</v>
      </c>
      <c r="H28" s="7" t="s">
        <v>403</v>
      </c>
      <c r="I28" s="7" t="s">
        <v>403</v>
      </c>
      <c r="J28" s="7">
        <v>1</v>
      </c>
      <c r="K28" s="7" t="s">
        <v>403</v>
      </c>
      <c r="L28" s="7" t="s">
        <v>403</v>
      </c>
      <c r="M28" s="226" t="s">
        <v>403</v>
      </c>
      <c r="N28" s="234" t="s">
        <v>413</v>
      </c>
      <c r="O28" s="25"/>
      <c r="P28" s="25"/>
      <c r="Q28" s="25"/>
      <c r="R28" s="25"/>
      <c r="S28" s="25"/>
      <c r="T28" s="25"/>
    </row>
    <row r="29" spans="1:20">
      <c r="A29" s="25"/>
      <c r="B29" s="230" t="s">
        <v>332</v>
      </c>
      <c r="C29" s="225" t="s">
        <v>124</v>
      </c>
      <c r="D29" s="7" t="s">
        <v>408</v>
      </c>
      <c r="E29" s="226" t="s">
        <v>332</v>
      </c>
      <c r="F29" s="237" t="s">
        <v>398</v>
      </c>
      <c r="G29" s="225">
        <v>10</v>
      </c>
      <c r="H29" s="7">
        <v>15</v>
      </c>
      <c r="I29" s="7" t="s">
        <v>403</v>
      </c>
      <c r="J29" s="7" t="s">
        <v>403</v>
      </c>
      <c r="K29" s="7" t="s">
        <v>403</v>
      </c>
      <c r="L29" s="7">
        <v>7</v>
      </c>
      <c r="M29" s="226">
        <v>15</v>
      </c>
      <c r="N29" s="234" t="s">
        <v>411</v>
      </c>
      <c r="O29" s="25"/>
      <c r="P29" s="25"/>
      <c r="Q29" s="25"/>
      <c r="R29" s="25"/>
      <c r="S29" s="25"/>
      <c r="T29" s="25"/>
    </row>
    <row r="30" spans="1:20">
      <c r="A30" s="25"/>
      <c r="B30" s="230" t="s">
        <v>333</v>
      </c>
      <c r="C30" s="225" t="s">
        <v>124</v>
      </c>
      <c r="D30" s="7" t="s">
        <v>408</v>
      </c>
      <c r="E30" s="226" t="s">
        <v>414</v>
      </c>
      <c r="F30" s="237" t="s">
        <v>398</v>
      </c>
      <c r="G30" s="225">
        <v>3</v>
      </c>
      <c r="H30" s="7">
        <v>5</v>
      </c>
      <c r="I30" s="7" t="s">
        <v>403</v>
      </c>
      <c r="J30" s="7" t="s">
        <v>403</v>
      </c>
      <c r="K30" s="7" t="s">
        <v>403</v>
      </c>
      <c r="L30" s="7">
        <v>4</v>
      </c>
      <c r="M30" s="226">
        <v>5</v>
      </c>
      <c r="N30" s="234" t="s">
        <v>415</v>
      </c>
      <c r="O30" s="25"/>
      <c r="P30" s="25"/>
      <c r="Q30" s="25"/>
      <c r="R30" s="25"/>
      <c r="S30" s="25"/>
      <c r="T30" s="25"/>
    </row>
    <row r="31" spans="1:20">
      <c r="A31" s="25"/>
      <c r="B31" s="230" t="s">
        <v>335</v>
      </c>
      <c r="C31" s="225" t="s">
        <v>124</v>
      </c>
      <c r="D31" s="7" t="s">
        <v>408</v>
      </c>
      <c r="E31" s="226" t="s">
        <v>335</v>
      </c>
      <c r="F31" s="237" t="s">
        <v>398</v>
      </c>
      <c r="G31" s="225">
        <v>3</v>
      </c>
      <c r="H31" s="7">
        <v>5</v>
      </c>
      <c r="I31" s="7" t="s">
        <v>403</v>
      </c>
      <c r="J31" s="7" t="s">
        <v>403</v>
      </c>
      <c r="K31" s="7" t="s">
        <v>403</v>
      </c>
      <c r="L31" s="7">
        <v>4</v>
      </c>
      <c r="M31" s="226">
        <v>5</v>
      </c>
      <c r="N31" s="234" t="s">
        <v>411</v>
      </c>
      <c r="O31" s="25"/>
      <c r="P31" s="25"/>
      <c r="Q31" s="25"/>
      <c r="R31" s="25"/>
      <c r="S31" s="25"/>
      <c r="T31" s="25"/>
    </row>
    <row r="32" spans="1:20">
      <c r="A32" s="25"/>
      <c r="B32" s="230" t="s">
        <v>336</v>
      </c>
      <c r="C32" s="225" t="s">
        <v>124</v>
      </c>
      <c r="D32" s="7" t="s">
        <v>408</v>
      </c>
      <c r="E32" s="226" t="s">
        <v>336</v>
      </c>
      <c r="F32" s="237" t="s">
        <v>398</v>
      </c>
      <c r="G32" s="225">
        <v>5</v>
      </c>
      <c r="H32" s="7">
        <v>10</v>
      </c>
      <c r="I32" s="7" t="s">
        <v>403</v>
      </c>
      <c r="J32" s="7" t="s">
        <v>403</v>
      </c>
      <c r="K32" s="7" t="s">
        <v>403</v>
      </c>
      <c r="L32" s="7">
        <v>20</v>
      </c>
      <c r="M32" s="226">
        <v>10</v>
      </c>
      <c r="N32" s="234" t="s">
        <v>411</v>
      </c>
      <c r="O32" s="25"/>
      <c r="P32" s="25"/>
      <c r="Q32" s="25"/>
      <c r="R32" s="25"/>
      <c r="S32" s="25"/>
      <c r="T32" s="25"/>
    </row>
    <row r="33" spans="1:20">
      <c r="A33" s="25"/>
      <c r="B33" s="230" t="s">
        <v>337</v>
      </c>
      <c r="C33" s="225" t="s">
        <v>124</v>
      </c>
      <c r="D33" s="7" t="s">
        <v>408</v>
      </c>
      <c r="E33" s="226" t="s">
        <v>337</v>
      </c>
      <c r="F33" s="237" t="s">
        <v>398</v>
      </c>
      <c r="G33" s="225">
        <v>3</v>
      </c>
      <c r="H33" s="7">
        <v>5</v>
      </c>
      <c r="I33" s="7" t="s">
        <v>403</v>
      </c>
      <c r="J33" s="7" t="s">
        <v>403</v>
      </c>
      <c r="K33" s="7" t="s">
        <v>403</v>
      </c>
      <c r="L33" s="7">
        <v>2</v>
      </c>
      <c r="M33" s="226" t="s">
        <v>403</v>
      </c>
      <c r="N33" s="234" t="s">
        <v>411</v>
      </c>
      <c r="O33" s="25"/>
      <c r="P33" s="25"/>
      <c r="Q33" s="25"/>
      <c r="R33" s="25"/>
      <c r="S33" s="25"/>
      <c r="T33" s="25"/>
    </row>
    <row r="34" spans="1:20">
      <c r="A34" s="25"/>
      <c r="B34" s="230" t="s">
        <v>338</v>
      </c>
      <c r="C34" s="225" t="s">
        <v>124</v>
      </c>
      <c r="D34" s="7" t="s">
        <v>408</v>
      </c>
      <c r="E34" s="226" t="s">
        <v>338</v>
      </c>
      <c r="F34" s="237" t="s">
        <v>398</v>
      </c>
      <c r="G34" s="225">
        <v>10</v>
      </c>
      <c r="H34" s="7">
        <v>20</v>
      </c>
      <c r="I34" s="7" t="s">
        <v>403</v>
      </c>
      <c r="J34" s="7" t="s">
        <v>403</v>
      </c>
      <c r="K34" s="7" t="s">
        <v>403</v>
      </c>
      <c r="L34" s="7">
        <v>10</v>
      </c>
      <c r="M34" s="226">
        <v>20</v>
      </c>
      <c r="N34" s="234" t="s">
        <v>411</v>
      </c>
      <c r="O34" s="25"/>
      <c r="P34" s="25"/>
      <c r="Q34" s="25"/>
      <c r="R34" s="25"/>
      <c r="S34" s="25"/>
      <c r="T34" s="25"/>
    </row>
    <row r="35" spans="1:20">
      <c r="A35" s="25"/>
      <c r="B35" s="230" t="s">
        <v>339</v>
      </c>
      <c r="C35" s="225" t="s">
        <v>124</v>
      </c>
      <c r="D35" s="7" t="s">
        <v>408</v>
      </c>
      <c r="E35" s="230" t="s">
        <v>339</v>
      </c>
      <c r="F35" s="237" t="s">
        <v>398</v>
      </c>
      <c r="G35" s="225">
        <v>3</v>
      </c>
      <c r="H35" s="7">
        <v>5</v>
      </c>
      <c r="I35" s="7" t="s">
        <v>403</v>
      </c>
      <c r="J35" s="7" t="s">
        <v>403</v>
      </c>
      <c r="K35" s="7" t="s">
        <v>403</v>
      </c>
      <c r="L35" s="7">
        <v>2</v>
      </c>
      <c r="M35" s="226" t="s">
        <v>403</v>
      </c>
      <c r="N35" s="234" t="s">
        <v>411</v>
      </c>
      <c r="O35" s="25"/>
      <c r="P35" s="25"/>
      <c r="Q35" s="25"/>
      <c r="R35" s="25"/>
      <c r="S35" s="25"/>
      <c r="T35" s="25"/>
    </row>
    <row r="36" spans="1:20">
      <c r="A36" s="25"/>
      <c r="B36" s="230" t="s">
        <v>340</v>
      </c>
      <c r="C36" s="225" t="s">
        <v>124</v>
      </c>
      <c r="D36" s="7" t="s">
        <v>408</v>
      </c>
      <c r="E36" s="226" t="s">
        <v>340</v>
      </c>
      <c r="F36" s="237" t="s">
        <v>398</v>
      </c>
      <c r="G36" s="225">
        <v>1</v>
      </c>
      <c r="H36" s="7">
        <v>1</v>
      </c>
      <c r="I36" s="7" t="s">
        <v>403</v>
      </c>
      <c r="J36" s="7" t="s">
        <v>403</v>
      </c>
      <c r="K36" s="7" t="s">
        <v>403</v>
      </c>
      <c r="L36" s="7">
        <v>1</v>
      </c>
      <c r="M36" s="226">
        <v>1</v>
      </c>
      <c r="N36" s="234" t="s">
        <v>411</v>
      </c>
      <c r="O36" s="25"/>
      <c r="P36" s="25"/>
      <c r="Q36" s="25"/>
      <c r="R36" s="25"/>
      <c r="S36" s="25"/>
      <c r="T36" s="25"/>
    </row>
    <row r="37" spans="1:20">
      <c r="A37" s="25"/>
      <c r="B37" s="230" t="s">
        <v>341</v>
      </c>
      <c r="C37" s="225" t="s">
        <v>401</v>
      </c>
      <c r="D37" s="7" t="s">
        <v>401</v>
      </c>
      <c r="E37" s="232" t="s">
        <v>402</v>
      </c>
      <c r="F37" s="237" t="s">
        <v>403</v>
      </c>
      <c r="G37" s="225" t="s">
        <v>403</v>
      </c>
      <c r="H37" s="7" t="s">
        <v>403</v>
      </c>
      <c r="I37" s="7" t="s">
        <v>403</v>
      </c>
      <c r="J37" s="7" t="s">
        <v>403</v>
      </c>
      <c r="K37" s="7">
        <v>0</v>
      </c>
      <c r="L37" s="7" t="s">
        <v>403</v>
      </c>
      <c r="M37" s="226" t="s">
        <v>403</v>
      </c>
      <c r="N37" s="234" t="s">
        <v>402</v>
      </c>
      <c r="O37" s="25"/>
      <c r="P37" s="25"/>
      <c r="Q37" s="25"/>
      <c r="R37" s="25"/>
      <c r="S37" s="25"/>
      <c r="T37" s="25"/>
    </row>
    <row r="38" spans="1:20">
      <c r="A38" s="25"/>
      <c r="B38" s="230" t="s">
        <v>344</v>
      </c>
      <c r="C38" s="225" t="s">
        <v>124</v>
      </c>
      <c r="D38" s="7" t="s">
        <v>408</v>
      </c>
      <c r="E38" s="226" t="s">
        <v>344</v>
      </c>
      <c r="F38" s="237" t="s">
        <v>398</v>
      </c>
      <c r="G38" s="225">
        <v>1</v>
      </c>
      <c r="H38" s="7">
        <v>3</v>
      </c>
      <c r="I38" s="7" t="s">
        <v>403</v>
      </c>
      <c r="J38" s="7" t="s">
        <v>403</v>
      </c>
      <c r="K38" s="7" t="s">
        <v>403</v>
      </c>
      <c r="L38" s="7">
        <v>2</v>
      </c>
      <c r="M38" s="226">
        <v>3</v>
      </c>
      <c r="N38" s="234" t="s">
        <v>411</v>
      </c>
      <c r="O38" s="25"/>
      <c r="P38" s="25"/>
      <c r="Q38" s="25"/>
      <c r="R38" s="25"/>
      <c r="S38" s="25"/>
      <c r="T38" s="25"/>
    </row>
    <row r="39" spans="1:20">
      <c r="A39" s="25"/>
      <c r="B39" s="230" t="s">
        <v>345</v>
      </c>
      <c r="C39" s="225" t="s">
        <v>124</v>
      </c>
      <c r="D39" s="7" t="s">
        <v>408</v>
      </c>
      <c r="E39" s="226" t="s">
        <v>345</v>
      </c>
      <c r="F39" s="237" t="s">
        <v>398</v>
      </c>
      <c r="G39" s="225">
        <v>5</v>
      </c>
      <c r="H39" s="7">
        <v>10</v>
      </c>
      <c r="I39" s="7" t="s">
        <v>403</v>
      </c>
      <c r="J39" s="7" t="s">
        <v>403</v>
      </c>
      <c r="K39" s="7" t="s">
        <v>403</v>
      </c>
      <c r="L39" s="7">
        <v>5</v>
      </c>
      <c r="M39" s="226">
        <v>10</v>
      </c>
      <c r="N39" s="234" t="s">
        <v>411</v>
      </c>
      <c r="O39" s="25"/>
      <c r="P39" s="25"/>
      <c r="Q39" s="25"/>
      <c r="R39" s="25"/>
      <c r="S39" s="25"/>
      <c r="T39" s="25"/>
    </row>
    <row r="40" spans="1:20">
      <c r="A40" s="25"/>
      <c r="B40" s="230" t="s">
        <v>346</v>
      </c>
      <c r="C40" s="225" t="s">
        <v>401</v>
      </c>
      <c r="D40" s="7" t="s">
        <v>401</v>
      </c>
      <c r="E40" s="232" t="s">
        <v>402</v>
      </c>
      <c r="F40" s="237" t="s">
        <v>403</v>
      </c>
      <c r="G40" s="225" t="s">
        <v>403</v>
      </c>
      <c r="H40" s="7" t="s">
        <v>403</v>
      </c>
      <c r="I40" s="7" t="s">
        <v>403</v>
      </c>
      <c r="J40" s="7" t="s">
        <v>403</v>
      </c>
      <c r="K40" s="7">
        <v>0</v>
      </c>
      <c r="L40" s="7" t="s">
        <v>403</v>
      </c>
      <c r="M40" s="226" t="s">
        <v>403</v>
      </c>
      <c r="N40" s="234" t="s">
        <v>402</v>
      </c>
      <c r="O40" s="25"/>
      <c r="P40" s="25"/>
      <c r="Q40" s="25"/>
      <c r="R40" s="25"/>
      <c r="S40" s="25"/>
      <c r="T40" s="25"/>
    </row>
    <row r="41" spans="1:20">
      <c r="A41" s="25"/>
      <c r="B41" s="230" t="s">
        <v>347</v>
      </c>
      <c r="C41" s="225" t="s">
        <v>124</v>
      </c>
      <c r="D41" s="7" t="s">
        <v>408</v>
      </c>
      <c r="E41" s="226" t="s">
        <v>347</v>
      </c>
      <c r="F41" s="237" t="s">
        <v>398</v>
      </c>
      <c r="G41" s="225">
        <v>15</v>
      </c>
      <c r="H41" s="7">
        <v>20</v>
      </c>
      <c r="I41" s="7" t="s">
        <v>403</v>
      </c>
      <c r="J41" s="7" t="s">
        <v>403</v>
      </c>
      <c r="K41" s="7" t="s">
        <v>403</v>
      </c>
      <c r="L41" s="7">
        <v>15</v>
      </c>
      <c r="M41" s="226">
        <v>20</v>
      </c>
      <c r="N41" s="234" t="s">
        <v>411</v>
      </c>
      <c r="O41" s="25"/>
      <c r="P41" s="25"/>
      <c r="Q41" s="25"/>
      <c r="R41" s="25"/>
      <c r="S41" s="25"/>
      <c r="T41" s="25"/>
    </row>
    <row r="42" spans="1:20">
      <c r="A42" s="25"/>
      <c r="B42" s="230" t="s">
        <v>348</v>
      </c>
      <c r="C42" s="225" t="s">
        <v>401</v>
      </c>
      <c r="D42" s="7" t="s">
        <v>401</v>
      </c>
      <c r="E42" s="232" t="s">
        <v>402</v>
      </c>
      <c r="F42" s="237" t="s">
        <v>403</v>
      </c>
      <c r="G42" s="225" t="s">
        <v>403</v>
      </c>
      <c r="H42" s="7" t="s">
        <v>403</v>
      </c>
      <c r="I42" s="7" t="s">
        <v>403</v>
      </c>
      <c r="J42" s="7" t="s">
        <v>403</v>
      </c>
      <c r="K42" s="7">
        <v>0</v>
      </c>
      <c r="L42" s="7" t="s">
        <v>403</v>
      </c>
      <c r="M42" s="226" t="s">
        <v>403</v>
      </c>
      <c r="N42" s="234" t="s">
        <v>402</v>
      </c>
      <c r="O42" s="25"/>
      <c r="P42" s="25"/>
      <c r="Q42" s="25"/>
      <c r="R42" s="25"/>
      <c r="S42" s="25"/>
      <c r="T42" s="25"/>
    </row>
    <row r="43" spans="1:20" ht="30">
      <c r="A43" s="25"/>
      <c r="B43" s="230" t="s">
        <v>353</v>
      </c>
      <c r="C43" s="334" t="s">
        <v>400</v>
      </c>
      <c r="D43" s="9" t="s">
        <v>400</v>
      </c>
      <c r="E43" s="226" t="s">
        <v>345</v>
      </c>
      <c r="F43" s="237" t="s">
        <v>403</v>
      </c>
      <c r="G43" s="225" t="s">
        <v>403</v>
      </c>
      <c r="H43" s="7" t="s">
        <v>403</v>
      </c>
      <c r="I43" s="7" t="s">
        <v>403</v>
      </c>
      <c r="J43" s="7">
        <v>1</v>
      </c>
      <c r="K43" s="7" t="s">
        <v>403</v>
      </c>
      <c r="L43" s="7" t="s">
        <v>403</v>
      </c>
      <c r="M43" s="7" t="s">
        <v>403</v>
      </c>
      <c r="N43" s="234" t="s">
        <v>416</v>
      </c>
      <c r="O43" s="25"/>
      <c r="P43" s="25"/>
      <c r="Q43" s="25"/>
      <c r="R43" s="25"/>
      <c r="S43" s="25"/>
      <c r="T43" s="25"/>
    </row>
    <row r="44" spans="1:20">
      <c r="A44" s="25"/>
      <c r="B44" s="230" t="s">
        <v>350</v>
      </c>
      <c r="C44" s="225" t="s">
        <v>124</v>
      </c>
      <c r="D44" s="7" t="s">
        <v>408</v>
      </c>
      <c r="E44" s="226" t="s">
        <v>350</v>
      </c>
      <c r="F44" s="237" t="s">
        <v>398</v>
      </c>
      <c r="G44" s="225">
        <v>3</v>
      </c>
      <c r="H44" s="7">
        <v>5</v>
      </c>
      <c r="I44" s="7" t="s">
        <v>403</v>
      </c>
      <c r="J44" s="7" t="s">
        <v>403</v>
      </c>
      <c r="K44" s="7" t="s">
        <v>403</v>
      </c>
      <c r="L44" s="7">
        <v>2</v>
      </c>
      <c r="M44" s="226">
        <v>5</v>
      </c>
      <c r="N44" s="234" t="s">
        <v>411</v>
      </c>
      <c r="O44" s="25"/>
      <c r="P44" s="25"/>
      <c r="Q44" s="25"/>
      <c r="R44" s="25"/>
      <c r="S44" s="25"/>
      <c r="T44" s="25"/>
    </row>
    <row r="45" spans="1:20">
      <c r="A45" s="25"/>
      <c r="B45" s="230" t="s">
        <v>351</v>
      </c>
      <c r="C45" s="225" t="s">
        <v>124</v>
      </c>
      <c r="D45" s="7" t="s">
        <v>408</v>
      </c>
      <c r="E45" s="226" t="s">
        <v>351</v>
      </c>
      <c r="F45" s="237" t="s">
        <v>398</v>
      </c>
      <c r="G45" s="225">
        <v>3</v>
      </c>
      <c r="H45" s="7">
        <v>5</v>
      </c>
      <c r="I45" s="7" t="s">
        <v>403</v>
      </c>
      <c r="J45" s="7" t="s">
        <v>403</v>
      </c>
      <c r="K45" s="7" t="s">
        <v>403</v>
      </c>
      <c r="L45" s="7">
        <v>2</v>
      </c>
      <c r="M45" s="226">
        <v>5</v>
      </c>
      <c r="N45" s="234" t="s">
        <v>411</v>
      </c>
      <c r="O45" s="25"/>
      <c r="P45" s="25"/>
      <c r="Q45" s="25"/>
      <c r="R45" s="25"/>
      <c r="S45" s="25"/>
      <c r="T45" s="25"/>
    </row>
    <row r="46" spans="1:20" ht="30">
      <c r="A46" s="25"/>
      <c r="B46" s="230" t="s">
        <v>352</v>
      </c>
      <c r="C46" s="334" t="s">
        <v>400</v>
      </c>
      <c r="D46" s="9" t="s">
        <v>400</v>
      </c>
      <c r="E46" s="232" t="s">
        <v>402</v>
      </c>
      <c r="F46" s="237" t="s">
        <v>403</v>
      </c>
      <c r="G46" s="225" t="s">
        <v>403</v>
      </c>
      <c r="H46" s="7" t="s">
        <v>403</v>
      </c>
      <c r="I46" s="7" t="s">
        <v>403</v>
      </c>
      <c r="J46" s="7">
        <v>1</v>
      </c>
      <c r="K46" s="7" t="s">
        <v>403</v>
      </c>
      <c r="L46" s="7" t="s">
        <v>403</v>
      </c>
      <c r="M46" s="226" t="s">
        <v>403</v>
      </c>
      <c r="N46" s="234" t="s">
        <v>402</v>
      </c>
      <c r="O46" s="25"/>
      <c r="P46" s="25"/>
      <c r="Q46" s="25"/>
      <c r="R46" s="25"/>
      <c r="S46" s="25"/>
      <c r="T46" s="25"/>
    </row>
    <row r="47" spans="1:20">
      <c r="A47" s="25"/>
      <c r="B47" s="230" t="s">
        <v>349</v>
      </c>
      <c r="C47" s="225" t="s">
        <v>124</v>
      </c>
      <c r="D47" s="7" t="s">
        <v>408</v>
      </c>
      <c r="E47" s="226" t="s">
        <v>417</v>
      </c>
      <c r="F47" s="237" t="s">
        <v>398</v>
      </c>
      <c r="G47" s="225">
        <v>3</v>
      </c>
      <c r="H47" s="7">
        <v>5</v>
      </c>
      <c r="I47" s="7" t="s">
        <v>403</v>
      </c>
      <c r="J47" s="7" t="s">
        <v>403</v>
      </c>
      <c r="K47" s="7" t="s">
        <v>403</v>
      </c>
      <c r="L47" s="7">
        <v>2</v>
      </c>
      <c r="M47" s="226">
        <v>10</v>
      </c>
      <c r="N47" s="234" t="s">
        <v>418</v>
      </c>
      <c r="O47" s="25"/>
      <c r="P47" s="25"/>
      <c r="Q47" s="25"/>
      <c r="R47" s="25"/>
      <c r="S47" s="25"/>
      <c r="T47" s="25"/>
    </row>
    <row r="48" spans="1:20" ht="30">
      <c r="A48" s="25"/>
      <c r="B48" s="230" t="s">
        <v>354</v>
      </c>
      <c r="C48" s="334" t="s">
        <v>400</v>
      </c>
      <c r="D48" s="9" t="s">
        <v>400</v>
      </c>
      <c r="E48" s="232" t="s">
        <v>402</v>
      </c>
      <c r="F48" s="237" t="s">
        <v>403</v>
      </c>
      <c r="G48" s="225" t="s">
        <v>403</v>
      </c>
      <c r="H48" s="7" t="s">
        <v>403</v>
      </c>
      <c r="I48" s="7" t="s">
        <v>403</v>
      </c>
      <c r="J48" s="7">
        <v>1</v>
      </c>
      <c r="K48" s="7" t="s">
        <v>403</v>
      </c>
      <c r="L48" s="7" t="s">
        <v>403</v>
      </c>
      <c r="M48" s="226" t="s">
        <v>403</v>
      </c>
      <c r="N48" s="234" t="s">
        <v>402</v>
      </c>
      <c r="O48" s="25"/>
      <c r="P48" s="25"/>
      <c r="Q48" s="25"/>
      <c r="R48" s="25"/>
      <c r="S48" s="25"/>
      <c r="T48" s="25"/>
    </row>
    <row r="49" spans="1:20">
      <c r="A49" s="25"/>
      <c r="B49" s="230" t="s">
        <v>355</v>
      </c>
      <c r="C49" s="225" t="s">
        <v>124</v>
      </c>
      <c r="D49" s="7" t="s">
        <v>408</v>
      </c>
      <c r="E49" s="226" t="s">
        <v>355</v>
      </c>
      <c r="F49" s="237" t="s">
        <v>398</v>
      </c>
      <c r="G49" s="225">
        <v>3</v>
      </c>
      <c r="H49" s="7">
        <v>5</v>
      </c>
      <c r="I49" s="7" t="s">
        <v>403</v>
      </c>
      <c r="J49" s="7" t="s">
        <v>403</v>
      </c>
      <c r="K49" s="7" t="s">
        <v>403</v>
      </c>
      <c r="L49" s="7">
        <v>1</v>
      </c>
      <c r="M49" s="226">
        <v>1</v>
      </c>
      <c r="N49" s="234" t="s">
        <v>411</v>
      </c>
      <c r="O49" s="25"/>
      <c r="P49" s="25"/>
      <c r="Q49" s="25"/>
      <c r="R49" s="25"/>
      <c r="S49" s="25"/>
      <c r="T49" s="25"/>
    </row>
    <row r="50" spans="1:20" ht="30">
      <c r="A50" s="25"/>
      <c r="B50" s="230" t="s">
        <v>356</v>
      </c>
      <c r="C50" s="334" t="s">
        <v>400</v>
      </c>
      <c r="D50" s="9" t="s">
        <v>400</v>
      </c>
      <c r="E50" s="226" t="s">
        <v>338</v>
      </c>
      <c r="F50" s="237" t="s">
        <v>403</v>
      </c>
      <c r="G50" s="225" t="s">
        <v>403</v>
      </c>
      <c r="H50" s="7" t="s">
        <v>403</v>
      </c>
      <c r="I50" s="7" t="s">
        <v>403</v>
      </c>
      <c r="J50" s="7">
        <v>1</v>
      </c>
      <c r="K50" s="7" t="s">
        <v>403</v>
      </c>
      <c r="L50" s="7" t="s">
        <v>403</v>
      </c>
      <c r="M50" s="226" t="s">
        <v>403</v>
      </c>
      <c r="N50" s="234" t="s">
        <v>419</v>
      </c>
      <c r="O50" s="25"/>
      <c r="P50" s="25"/>
      <c r="Q50" s="25"/>
      <c r="R50" s="25"/>
      <c r="S50" s="25"/>
      <c r="T50" s="25"/>
    </row>
    <row r="51" spans="1:20">
      <c r="A51" s="25"/>
      <c r="B51" s="230" t="s">
        <v>104</v>
      </c>
      <c r="C51" s="225" t="s">
        <v>124</v>
      </c>
      <c r="D51" s="7" t="s">
        <v>408</v>
      </c>
      <c r="E51" s="230" t="s">
        <v>104</v>
      </c>
      <c r="F51" s="237" t="s">
        <v>398</v>
      </c>
      <c r="G51" s="225">
        <v>27</v>
      </c>
      <c r="H51" s="7" t="s">
        <v>420</v>
      </c>
      <c r="I51" s="7" t="s">
        <v>403</v>
      </c>
      <c r="J51" s="7" t="s">
        <v>403</v>
      </c>
      <c r="K51" s="7" t="s">
        <v>403</v>
      </c>
      <c r="L51" s="7">
        <v>16</v>
      </c>
      <c r="M51" s="226" t="s">
        <v>403</v>
      </c>
      <c r="N51" s="234" t="s">
        <v>402</v>
      </c>
      <c r="O51" s="25"/>
      <c r="P51" s="25"/>
      <c r="Q51" s="25"/>
      <c r="R51" s="25"/>
      <c r="S51" s="25"/>
      <c r="T51" s="25"/>
    </row>
    <row r="52" spans="1:20">
      <c r="A52" s="25"/>
      <c r="B52" s="230" t="s">
        <v>357</v>
      </c>
      <c r="C52" s="225" t="s">
        <v>124</v>
      </c>
      <c r="D52" s="7" t="s">
        <v>408</v>
      </c>
      <c r="E52" s="226" t="s">
        <v>357</v>
      </c>
      <c r="F52" s="237" t="s">
        <v>398</v>
      </c>
      <c r="G52" s="225">
        <v>3</v>
      </c>
      <c r="H52" s="7">
        <v>5</v>
      </c>
      <c r="I52" s="7" t="s">
        <v>403</v>
      </c>
      <c r="J52" s="7" t="s">
        <v>403</v>
      </c>
      <c r="K52" s="7" t="s">
        <v>403</v>
      </c>
      <c r="L52" s="7">
        <v>2</v>
      </c>
      <c r="M52" s="226">
        <v>5</v>
      </c>
      <c r="N52" s="234" t="s">
        <v>411</v>
      </c>
      <c r="O52" s="25"/>
      <c r="P52" s="25"/>
      <c r="Q52" s="25"/>
      <c r="R52" s="25"/>
      <c r="S52" s="25"/>
      <c r="T52" s="25"/>
    </row>
    <row r="53" spans="1:20">
      <c r="A53" s="25"/>
      <c r="B53" s="230" t="s">
        <v>358</v>
      </c>
      <c r="C53" s="225" t="s">
        <v>401</v>
      </c>
      <c r="D53" s="7" t="s">
        <v>401</v>
      </c>
      <c r="E53" s="232" t="s">
        <v>402</v>
      </c>
      <c r="F53" s="237" t="s">
        <v>403</v>
      </c>
      <c r="G53" s="225" t="s">
        <v>403</v>
      </c>
      <c r="H53" s="7" t="s">
        <v>403</v>
      </c>
      <c r="I53" s="7" t="s">
        <v>403</v>
      </c>
      <c r="J53" s="7" t="s">
        <v>403</v>
      </c>
      <c r="K53" s="7">
        <v>0</v>
      </c>
      <c r="L53" s="7" t="s">
        <v>403</v>
      </c>
      <c r="M53" s="226" t="s">
        <v>403</v>
      </c>
      <c r="N53" s="234" t="s">
        <v>402</v>
      </c>
      <c r="O53" s="25"/>
      <c r="P53" s="25"/>
      <c r="Q53" s="25"/>
      <c r="R53" s="25"/>
      <c r="S53" s="25"/>
      <c r="T53" s="25"/>
    </row>
    <row r="54" spans="1:20">
      <c r="A54" s="25"/>
      <c r="B54" s="230" t="s">
        <v>359</v>
      </c>
      <c r="C54" s="225" t="s">
        <v>124</v>
      </c>
      <c r="D54" s="7" t="s">
        <v>408</v>
      </c>
      <c r="E54" s="226" t="s">
        <v>359</v>
      </c>
      <c r="F54" s="237" t="s">
        <v>398</v>
      </c>
      <c r="G54" s="225">
        <v>3</v>
      </c>
      <c r="H54" s="7">
        <v>5</v>
      </c>
      <c r="I54" s="7" t="s">
        <v>403</v>
      </c>
      <c r="J54" s="7" t="s">
        <v>403</v>
      </c>
      <c r="K54" s="7" t="s">
        <v>403</v>
      </c>
      <c r="L54" s="7">
        <v>1</v>
      </c>
      <c r="M54" s="226">
        <v>1</v>
      </c>
      <c r="N54" s="234" t="s">
        <v>411</v>
      </c>
      <c r="O54" s="25"/>
      <c r="P54" s="25"/>
      <c r="Q54" s="25"/>
      <c r="R54" s="25"/>
      <c r="S54" s="25"/>
      <c r="T54" s="25"/>
    </row>
    <row r="55" spans="1:20" ht="30">
      <c r="A55" s="25"/>
      <c r="B55" s="230" t="s">
        <v>360</v>
      </c>
      <c r="C55" s="334" t="s">
        <v>400</v>
      </c>
      <c r="D55" s="9" t="s">
        <v>400</v>
      </c>
      <c r="E55" s="232" t="s">
        <v>402</v>
      </c>
      <c r="F55" s="237" t="s">
        <v>403</v>
      </c>
      <c r="G55" s="225" t="s">
        <v>403</v>
      </c>
      <c r="H55" s="7" t="s">
        <v>403</v>
      </c>
      <c r="I55" s="7" t="s">
        <v>403</v>
      </c>
      <c r="J55" s="7">
        <v>1</v>
      </c>
      <c r="K55" s="7" t="s">
        <v>403</v>
      </c>
      <c r="L55" s="7">
        <v>2</v>
      </c>
      <c r="M55" s="226">
        <v>5</v>
      </c>
      <c r="N55" s="234" t="s">
        <v>411</v>
      </c>
      <c r="O55" s="25"/>
      <c r="P55" s="25"/>
      <c r="Q55" s="25"/>
      <c r="R55" s="25"/>
      <c r="S55" s="25"/>
      <c r="T55" s="25"/>
    </row>
    <row r="56" spans="1:20">
      <c r="A56" s="25"/>
      <c r="B56" s="230" t="s">
        <v>361</v>
      </c>
      <c r="C56" s="225" t="s">
        <v>124</v>
      </c>
      <c r="D56" s="7" t="s">
        <v>408</v>
      </c>
      <c r="E56" s="237" t="s">
        <v>361</v>
      </c>
      <c r="F56" s="237" t="s">
        <v>398</v>
      </c>
      <c r="G56" s="225">
        <v>3</v>
      </c>
      <c r="H56" s="7">
        <v>5</v>
      </c>
      <c r="I56" s="7" t="s">
        <v>403</v>
      </c>
      <c r="J56" s="7" t="s">
        <v>403</v>
      </c>
      <c r="K56" s="7" t="s">
        <v>403</v>
      </c>
      <c r="L56" s="7">
        <v>1</v>
      </c>
      <c r="M56" s="226">
        <v>1</v>
      </c>
      <c r="N56" s="234" t="s">
        <v>411</v>
      </c>
      <c r="O56" s="25"/>
      <c r="P56" s="25"/>
      <c r="Q56" s="25"/>
      <c r="R56" s="25"/>
      <c r="S56" s="25"/>
      <c r="T56" s="25"/>
    </row>
    <row r="57" spans="1:20">
      <c r="A57" s="25"/>
      <c r="B57" s="230" t="s">
        <v>362</v>
      </c>
      <c r="C57" s="225" t="s">
        <v>124</v>
      </c>
      <c r="D57" s="7" t="s">
        <v>408</v>
      </c>
      <c r="E57" s="226" t="s">
        <v>421</v>
      </c>
      <c r="F57" s="237" t="s">
        <v>398</v>
      </c>
      <c r="G57" s="225">
        <v>30</v>
      </c>
      <c r="H57" s="7" t="s">
        <v>420</v>
      </c>
      <c r="I57" s="7" t="s">
        <v>403</v>
      </c>
      <c r="J57" s="7" t="s">
        <v>403</v>
      </c>
      <c r="K57" s="7" t="s">
        <v>403</v>
      </c>
      <c r="L57" s="7" t="s">
        <v>420</v>
      </c>
      <c r="M57" s="226" t="s">
        <v>403</v>
      </c>
      <c r="N57" s="234" t="s">
        <v>422</v>
      </c>
      <c r="O57" s="25"/>
      <c r="P57" s="25"/>
      <c r="Q57" s="25"/>
      <c r="R57" s="25"/>
      <c r="S57" s="25"/>
      <c r="T57" s="25"/>
    </row>
    <row r="58" spans="1:20">
      <c r="A58" s="25"/>
      <c r="B58" s="230" t="s">
        <v>363</v>
      </c>
      <c r="C58" s="225" t="s">
        <v>124</v>
      </c>
      <c r="D58" s="7" t="s">
        <v>408</v>
      </c>
      <c r="E58" s="226" t="s">
        <v>363</v>
      </c>
      <c r="F58" s="237" t="s">
        <v>398</v>
      </c>
      <c r="G58" s="225" t="s">
        <v>420</v>
      </c>
      <c r="H58" s="7" t="s">
        <v>420</v>
      </c>
      <c r="I58" s="7" t="s">
        <v>403</v>
      </c>
      <c r="J58" s="7" t="s">
        <v>403</v>
      </c>
      <c r="K58" s="7" t="s">
        <v>403</v>
      </c>
      <c r="L58" s="7">
        <v>15</v>
      </c>
      <c r="M58" s="226" t="s">
        <v>420</v>
      </c>
      <c r="N58" s="234" t="s">
        <v>411</v>
      </c>
      <c r="O58" s="25"/>
      <c r="P58" s="25"/>
      <c r="Q58" s="25"/>
      <c r="R58" s="25"/>
      <c r="S58" s="25"/>
      <c r="T58" s="25"/>
    </row>
    <row r="59" spans="1:20">
      <c r="A59" s="25"/>
      <c r="B59" s="230" t="s">
        <v>364</v>
      </c>
      <c r="C59" s="225" t="s">
        <v>124</v>
      </c>
      <c r="D59" s="7" t="s">
        <v>408</v>
      </c>
      <c r="E59" s="226" t="s">
        <v>364</v>
      </c>
      <c r="F59" s="237" t="s">
        <v>398</v>
      </c>
      <c r="G59" s="225">
        <v>15</v>
      </c>
      <c r="H59" s="7" t="s">
        <v>420</v>
      </c>
      <c r="I59" s="7" t="s">
        <v>403</v>
      </c>
      <c r="J59" s="7" t="s">
        <v>403</v>
      </c>
      <c r="K59" s="7" t="s">
        <v>403</v>
      </c>
      <c r="L59" s="7">
        <v>10</v>
      </c>
      <c r="M59" s="226">
        <v>25</v>
      </c>
      <c r="N59" s="234" t="s">
        <v>411</v>
      </c>
      <c r="O59" s="25"/>
      <c r="P59" s="25"/>
      <c r="Q59" s="25"/>
      <c r="R59" s="25"/>
      <c r="S59" s="25"/>
      <c r="T59" s="25"/>
    </row>
    <row r="60" spans="1:20">
      <c r="A60" s="25"/>
      <c r="B60" s="230" t="s">
        <v>365</v>
      </c>
      <c r="C60" s="225" t="s">
        <v>124</v>
      </c>
      <c r="D60" s="7" t="s">
        <v>408</v>
      </c>
      <c r="E60" s="226" t="s">
        <v>365</v>
      </c>
      <c r="F60" s="237" t="s">
        <v>398</v>
      </c>
      <c r="G60" s="225">
        <v>30</v>
      </c>
      <c r="H60" s="7" t="s">
        <v>420</v>
      </c>
      <c r="I60" s="7" t="s">
        <v>403</v>
      </c>
      <c r="J60" s="7" t="s">
        <v>403</v>
      </c>
      <c r="K60" s="7" t="s">
        <v>403</v>
      </c>
      <c r="L60" s="7">
        <v>10</v>
      </c>
      <c r="M60" s="226">
        <v>25</v>
      </c>
      <c r="N60" s="234" t="s">
        <v>411</v>
      </c>
      <c r="O60" s="25"/>
      <c r="P60" s="25"/>
      <c r="Q60" s="25"/>
      <c r="R60" s="25"/>
      <c r="S60" s="25"/>
      <c r="T60" s="25"/>
    </row>
    <row r="61" spans="1:20">
      <c r="A61" s="25"/>
      <c r="B61" s="230" t="s">
        <v>366</v>
      </c>
      <c r="C61" s="225" t="s">
        <v>124</v>
      </c>
      <c r="D61" s="7" t="s">
        <v>408</v>
      </c>
      <c r="E61" s="226" t="s">
        <v>366</v>
      </c>
      <c r="F61" s="237" t="s">
        <v>398</v>
      </c>
      <c r="G61" s="225">
        <v>1</v>
      </c>
      <c r="H61" s="7">
        <v>3</v>
      </c>
      <c r="I61" s="7" t="s">
        <v>403</v>
      </c>
      <c r="J61" s="7" t="s">
        <v>403</v>
      </c>
      <c r="K61" s="7" t="s">
        <v>403</v>
      </c>
      <c r="L61" s="7">
        <v>2</v>
      </c>
      <c r="M61" s="226" t="s">
        <v>403</v>
      </c>
      <c r="N61" s="234" t="s">
        <v>411</v>
      </c>
      <c r="O61" s="25"/>
      <c r="P61" s="25"/>
      <c r="Q61" s="25"/>
      <c r="R61" s="25"/>
      <c r="S61" s="25"/>
      <c r="T61" s="25"/>
    </row>
    <row r="62" spans="1:20">
      <c r="A62" s="25"/>
      <c r="B62" s="230" t="s">
        <v>367</v>
      </c>
      <c r="C62" s="225" t="s">
        <v>124</v>
      </c>
      <c r="D62" s="7" t="s">
        <v>408</v>
      </c>
      <c r="E62" s="226" t="s">
        <v>367</v>
      </c>
      <c r="F62" s="237" t="s">
        <v>398</v>
      </c>
      <c r="G62" s="225">
        <v>7</v>
      </c>
      <c r="H62" s="7">
        <v>15</v>
      </c>
      <c r="I62" s="7" t="s">
        <v>403</v>
      </c>
      <c r="J62" s="7" t="s">
        <v>403</v>
      </c>
      <c r="K62" s="7" t="s">
        <v>403</v>
      </c>
      <c r="L62" s="7">
        <v>14</v>
      </c>
      <c r="M62" s="226" t="s">
        <v>403</v>
      </c>
      <c r="N62" s="234" t="s">
        <v>411</v>
      </c>
      <c r="O62" s="25"/>
      <c r="P62" s="25"/>
      <c r="Q62" s="25"/>
      <c r="R62" s="25"/>
      <c r="S62" s="25"/>
      <c r="T62" s="25"/>
    </row>
    <row r="63" spans="1:20">
      <c r="A63" s="25"/>
      <c r="B63" s="230" t="s">
        <v>368</v>
      </c>
      <c r="C63" s="225" t="s">
        <v>124</v>
      </c>
      <c r="D63" s="7" t="s">
        <v>408</v>
      </c>
      <c r="E63" s="226" t="s">
        <v>368</v>
      </c>
      <c r="F63" s="237" t="s">
        <v>398</v>
      </c>
      <c r="G63" s="225">
        <v>1</v>
      </c>
      <c r="H63" s="7">
        <v>3</v>
      </c>
      <c r="I63" s="7" t="s">
        <v>403</v>
      </c>
      <c r="J63" s="7" t="s">
        <v>403</v>
      </c>
      <c r="K63" s="7" t="s">
        <v>403</v>
      </c>
      <c r="L63" s="7">
        <v>2</v>
      </c>
      <c r="M63" s="226" t="s">
        <v>403</v>
      </c>
      <c r="N63" s="234" t="s">
        <v>411</v>
      </c>
      <c r="O63" s="25"/>
      <c r="P63" s="25"/>
      <c r="Q63" s="25"/>
      <c r="R63" s="25"/>
      <c r="S63" s="25"/>
      <c r="T63" s="25"/>
    </row>
    <row r="64" spans="1:20">
      <c r="A64" s="25"/>
      <c r="B64" s="230" t="s">
        <v>369</v>
      </c>
      <c r="C64" s="225" t="s">
        <v>124</v>
      </c>
      <c r="D64" s="7" t="s">
        <v>408</v>
      </c>
      <c r="E64" s="226" t="s">
        <v>369</v>
      </c>
      <c r="F64" s="237" t="s">
        <v>398</v>
      </c>
      <c r="G64" s="225">
        <v>3</v>
      </c>
      <c r="H64" s="7">
        <v>6</v>
      </c>
      <c r="I64" s="7" t="s">
        <v>403</v>
      </c>
      <c r="J64" s="7" t="s">
        <v>403</v>
      </c>
      <c r="K64" s="7" t="s">
        <v>403</v>
      </c>
      <c r="L64" s="7">
        <v>4</v>
      </c>
      <c r="M64" s="226" t="s">
        <v>403</v>
      </c>
      <c r="N64" s="234" t="s">
        <v>411</v>
      </c>
      <c r="O64" s="25"/>
      <c r="P64" s="25"/>
      <c r="Q64" s="25"/>
      <c r="R64" s="25"/>
      <c r="S64" s="25"/>
      <c r="T64" s="25"/>
    </row>
    <row r="65" spans="1:20">
      <c r="A65" s="25"/>
      <c r="B65" s="230" t="s">
        <v>370</v>
      </c>
      <c r="C65" s="225" t="s">
        <v>124</v>
      </c>
      <c r="D65" s="7" t="s">
        <v>408</v>
      </c>
      <c r="E65" s="226" t="s">
        <v>370</v>
      </c>
      <c r="F65" s="237" t="s">
        <v>398</v>
      </c>
      <c r="G65" s="225">
        <v>1</v>
      </c>
      <c r="H65" s="7">
        <v>4</v>
      </c>
      <c r="I65" s="7" t="s">
        <v>403</v>
      </c>
      <c r="J65" s="7" t="s">
        <v>403</v>
      </c>
      <c r="K65" s="7" t="s">
        <v>403</v>
      </c>
      <c r="L65" s="7">
        <v>3</v>
      </c>
      <c r="M65" s="226" t="s">
        <v>403</v>
      </c>
      <c r="N65" s="234" t="s">
        <v>411</v>
      </c>
      <c r="O65" s="25"/>
      <c r="P65" s="25"/>
      <c r="Q65" s="25"/>
      <c r="R65" s="25"/>
      <c r="S65" s="25"/>
      <c r="T65" s="25"/>
    </row>
    <row r="66" spans="1:20">
      <c r="A66" s="25"/>
      <c r="B66" s="230" t="s">
        <v>371</v>
      </c>
      <c r="C66" s="225" t="s">
        <v>124</v>
      </c>
      <c r="D66" s="7" t="s">
        <v>408</v>
      </c>
      <c r="E66" s="226" t="s">
        <v>371</v>
      </c>
      <c r="F66" s="237" t="s">
        <v>398</v>
      </c>
      <c r="G66" s="225">
        <v>3</v>
      </c>
      <c r="H66" s="7">
        <v>5</v>
      </c>
      <c r="I66" s="7" t="s">
        <v>403</v>
      </c>
      <c r="J66" s="7" t="s">
        <v>403</v>
      </c>
      <c r="K66" s="7" t="s">
        <v>403</v>
      </c>
      <c r="L66" s="7">
        <v>4</v>
      </c>
      <c r="M66" s="226" t="s">
        <v>403</v>
      </c>
      <c r="N66" s="234" t="s">
        <v>411</v>
      </c>
      <c r="O66" s="25"/>
      <c r="P66" s="25"/>
      <c r="Q66" s="25"/>
      <c r="R66" s="25"/>
      <c r="S66" s="25"/>
      <c r="T66" s="25"/>
    </row>
    <row r="67" spans="1:20">
      <c r="A67" s="25"/>
      <c r="B67" s="230" t="s">
        <v>372</v>
      </c>
      <c r="C67" s="225" t="s">
        <v>124</v>
      </c>
      <c r="D67" s="7" t="s">
        <v>408</v>
      </c>
      <c r="E67" s="226" t="s">
        <v>372</v>
      </c>
      <c r="F67" s="237" t="s">
        <v>398</v>
      </c>
      <c r="G67" s="225">
        <v>3</v>
      </c>
      <c r="H67" s="7">
        <v>5</v>
      </c>
      <c r="I67" s="7" t="s">
        <v>403</v>
      </c>
      <c r="J67" s="7" t="s">
        <v>403</v>
      </c>
      <c r="K67" s="7" t="s">
        <v>403</v>
      </c>
      <c r="L67" s="7">
        <v>2</v>
      </c>
      <c r="M67" s="226" t="s">
        <v>403</v>
      </c>
      <c r="N67" s="234" t="s">
        <v>411</v>
      </c>
      <c r="O67" s="25"/>
      <c r="P67" s="25"/>
      <c r="Q67" s="25"/>
      <c r="R67" s="25"/>
      <c r="S67" s="25"/>
      <c r="T67" s="25"/>
    </row>
    <row r="68" spans="1:20">
      <c r="A68" s="25"/>
      <c r="B68" s="230" t="s">
        <v>373</v>
      </c>
      <c r="C68" s="225" t="s">
        <v>124</v>
      </c>
      <c r="D68" s="7" t="s">
        <v>408</v>
      </c>
      <c r="E68" s="226" t="s">
        <v>373</v>
      </c>
      <c r="F68" s="237" t="s">
        <v>398</v>
      </c>
      <c r="G68" s="225">
        <v>10</v>
      </c>
      <c r="H68" s="7">
        <v>20</v>
      </c>
      <c r="I68" s="7" t="s">
        <v>403</v>
      </c>
      <c r="J68" s="7" t="s">
        <v>403</v>
      </c>
      <c r="K68" s="7" t="s">
        <v>403</v>
      </c>
      <c r="L68" s="7">
        <v>20</v>
      </c>
      <c r="M68" s="226" t="s">
        <v>403</v>
      </c>
      <c r="N68" s="234" t="s">
        <v>411</v>
      </c>
      <c r="O68" s="25"/>
      <c r="P68" s="25"/>
      <c r="Q68" s="25"/>
      <c r="R68" s="25"/>
      <c r="S68" s="25"/>
      <c r="T68" s="25"/>
    </row>
    <row r="69" spans="1:20">
      <c r="A69" s="25"/>
      <c r="B69" s="230" t="s">
        <v>374</v>
      </c>
      <c r="C69" s="225" t="s">
        <v>124</v>
      </c>
      <c r="D69" s="7" t="s">
        <v>408</v>
      </c>
      <c r="E69" s="226" t="s">
        <v>374</v>
      </c>
      <c r="F69" s="237" t="s">
        <v>398</v>
      </c>
      <c r="G69" s="225">
        <v>5</v>
      </c>
      <c r="H69" s="7">
        <v>15</v>
      </c>
      <c r="I69" s="7" t="s">
        <v>403</v>
      </c>
      <c r="J69" s="7" t="s">
        <v>403</v>
      </c>
      <c r="K69" s="7" t="s">
        <v>403</v>
      </c>
      <c r="L69" s="7">
        <v>6</v>
      </c>
      <c r="M69" s="226" t="s">
        <v>403</v>
      </c>
      <c r="N69" s="234" t="s">
        <v>411</v>
      </c>
      <c r="O69" s="25"/>
      <c r="P69" s="25"/>
      <c r="Q69" s="25"/>
      <c r="R69" s="25"/>
      <c r="S69" s="25"/>
      <c r="T69" s="25"/>
    </row>
    <row r="70" spans="1:20">
      <c r="A70" s="25"/>
      <c r="B70" s="230" t="s">
        <v>375</v>
      </c>
      <c r="C70" s="225" t="s">
        <v>124</v>
      </c>
      <c r="D70" s="7" t="s">
        <v>408</v>
      </c>
      <c r="E70" s="226" t="s">
        <v>375</v>
      </c>
      <c r="F70" s="237" t="s">
        <v>398</v>
      </c>
      <c r="G70" s="225">
        <v>1</v>
      </c>
      <c r="H70" s="7">
        <v>4</v>
      </c>
      <c r="I70" s="7" t="s">
        <v>403</v>
      </c>
      <c r="J70" s="7" t="s">
        <v>403</v>
      </c>
      <c r="K70" s="7" t="s">
        <v>403</v>
      </c>
      <c r="L70" s="7">
        <v>3</v>
      </c>
      <c r="M70" s="226" t="s">
        <v>403</v>
      </c>
      <c r="N70" s="234" t="s">
        <v>411</v>
      </c>
      <c r="O70" s="25"/>
      <c r="P70" s="25"/>
      <c r="Q70" s="25"/>
      <c r="R70" s="25"/>
      <c r="S70" s="25"/>
      <c r="T70" s="25"/>
    </row>
    <row r="71" spans="1:20">
      <c r="A71" s="25"/>
      <c r="B71" s="230" t="s">
        <v>376</v>
      </c>
      <c r="C71" s="225" t="s">
        <v>124</v>
      </c>
      <c r="D71" s="7" t="s">
        <v>408</v>
      </c>
      <c r="E71" s="226" t="s">
        <v>423</v>
      </c>
      <c r="F71" s="237" t="s">
        <v>398</v>
      </c>
      <c r="G71" s="225">
        <v>5</v>
      </c>
      <c r="H71" s="7">
        <v>15</v>
      </c>
      <c r="I71" s="7" t="s">
        <v>403</v>
      </c>
      <c r="J71" s="7" t="s">
        <v>403</v>
      </c>
      <c r="K71" s="7" t="s">
        <v>403</v>
      </c>
      <c r="L71" s="7">
        <v>8</v>
      </c>
      <c r="M71" s="226" t="s">
        <v>403</v>
      </c>
      <c r="N71" s="234" t="s">
        <v>424</v>
      </c>
      <c r="O71" s="25"/>
      <c r="P71" s="25"/>
      <c r="Q71" s="25"/>
      <c r="R71" s="25"/>
      <c r="S71" s="25"/>
      <c r="T71" s="25"/>
    </row>
    <row r="72" spans="1:20">
      <c r="A72" s="25"/>
      <c r="B72" s="230" t="s">
        <v>377</v>
      </c>
      <c r="C72" s="225" t="s">
        <v>124</v>
      </c>
      <c r="D72" s="7" t="s">
        <v>408</v>
      </c>
      <c r="E72" s="226" t="s">
        <v>425</v>
      </c>
      <c r="F72" s="237" t="s">
        <v>398</v>
      </c>
      <c r="G72" s="225">
        <v>4</v>
      </c>
      <c r="H72" s="7">
        <v>13</v>
      </c>
      <c r="I72" s="7" t="s">
        <v>403</v>
      </c>
      <c r="J72" s="7" t="s">
        <v>403</v>
      </c>
      <c r="K72" s="7" t="s">
        <v>403</v>
      </c>
      <c r="L72" s="7">
        <v>7</v>
      </c>
      <c r="M72" s="226" t="s">
        <v>403</v>
      </c>
      <c r="N72" s="234" t="s">
        <v>424</v>
      </c>
      <c r="O72" s="25"/>
      <c r="P72" s="25"/>
      <c r="Q72" s="25"/>
      <c r="R72" s="25"/>
      <c r="S72" s="25"/>
      <c r="T72" s="25"/>
    </row>
    <row r="73" spans="1:20">
      <c r="A73" s="25"/>
      <c r="B73" s="230" t="s">
        <v>378</v>
      </c>
      <c r="C73" s="225" t="s">
        <v>124</v>
      </c>
      <c r="D73" s="7" t="s">
        <v>408</v>
      </c>
      <c r="E73" s="226" t="s">
        <v>378</v>
      </c>
      <c r="F73" s="237" t="s">
        <v>398</v>
      </c>
      <c r="G73" s="225">
        <v>4</v>
      </c>
      <c r="H73" s="7">
        <v>13</v>
      </c>
      <c r="I73" s="7" t="s">
        <v>403</v>
      </c>
      <c r="J73" s="7" t="s">
        <v>403</v>
      </c>
      <c r="K73" s="7" t="s">
        <v>403</v>
      </c>
      <c r="L73" s="7">
        <v>7</v>
      </c>
      <c r="M73" s="226">
        <v>13</v>
      </c>
      <c r="N73" s="234" t="s">
        <v>411</v>
      </c>
      <c r="O73" s="25"/>
      <c r="P73" s="25"/>
      <c r="Q73" s="25"/>
      <c r="R73" s="25"/>
      <c r="S73" s="25"/>
      <c r="T73" s="25"/>
    </row>
    <row r="74" spans="1:20">
      <c r="A74" s="25"/>
      <c r="B74" s="230" t="s">
        <v>243</v>
      </c>
      <c r="C74" s="225" t="s">
        <v>124</v>
      </c>
      <c r="D74" s="7" t="s">
        <v>408</v>
      </c>
      <c r="E74" s="226" t="s">
        <v>243</v>
      </c>
      <c r="F74" s="237" t="s">
        <v>398</v>
      </c>
      <c r="G74" s="225">
        <v>5</v>
      </c>
      <c r="H74" s="7">
        <v>12</v>
      </c>
      <c r="I74" s="7" t="s">
        <v>403</v>
      </c>
      <c r="J74" s="7" t="s">
        <v>403</v>
      </c>
      <c r="K74" s="7" t="s">
        <v>403</v>
      </c>
      <c r="L74" s="7">
        <v>2</v>
      </c>
      <c r="M74" s="232">
        <v>5</v>
      </c>
      <c r="N74" s="234" t="s">
        <v>411</v>
      </c>
      <c r="O74" s="25"/>
      <c r="P74" s="25"/>
      <c r="Q74" s="25"/>
      <c r="R74" s="25"/>
      <c r="S74" s="25"/>
      <c r="T74" s="25"/>
    </row>
    <row r="75" spans="1:20">
      <c r="A75" s="25"/>
      <c r="B75" s="230" t="s">
        <v>244</v>
      </c>
      <c r="C75" s="225" t="s">
        <v>124</v>
      </c>
      <c r="D75" s="7" t="s">
        <v>408</v>
      </c>
      <c r="E75" s="226" t="s">
        <v>244</v>
      </c>
      <c r="F75" s="237" t="s">
        <v>398</v>
      </c>
      <c r="G75" s="225">
        <v>5</v>
      </c>
      <c r="H75" s="7">
        <v>12</v>
      </c>
      <c r="I75" s="7" t="s">
        <v>403</v>
      </c>
      <c r="J75" s="7" t="s">
        <v>403</v>
      </c>
      <c r="K75" s="7" t="s">
        <v>403</v>
      </c>
      <c r="L75" s="7">
        <v>2</v>
      </c>
      <c r="M75" s="232">
        <v>6</v>
      </c>
      <c r="N75" s="234" t="s">
        <v>411</v>
      </c>
      <c r="O75" s="25"/>
      <c r="P75" s="25"/>
      <c r="Q75" s="25"/>
      <c r="R75" s="25"/>
      <c r="S75" s="25"/>
      <c r="T75" s="25"/>
    </row>
    <row r="76" spans="1:20">
      <c r="A76" s="25"/>
      <c r="B76" s="230" t="s">
        <v>245</v>
      </c>
      <c r="C76" s="225" t="s">
        <v>124</v>
      </c>
      <c r="D76" s="7" t="s">
        <v>408</v>
      </c>
      <c r="E76" s="226" t="s">
        <v>245</v>
      </c>
      <c r="F76" s="237" t="s">
        <v>398</v>
      </c>
      <c r="G76" s="225">
        <v>10</v>
      </c>
      <c r="H76" s="7">
        <v>20</v>
      </c>
      <c r="I76" s="7" t="s">
        <v>403</v>
      </c>
      <c r="J76" s="7" t="s">
        <v>403</v>
      </c>
      <c r="K76" s="7" t="s">
        <v>403</v>
      </c>
      <c r="L76" s="7">
        <v>4</v>
      </c>
      <c r="M76" s="232">
        <v>12</v>
      </c>
      <c r="N76" s="234" t="s">
        <v>411</v>
      </c>
      <c r="O76" s="25"/>
      <c r="P76" s="25"/>
      <c r="Q76" s="25"/>
      <c r="R76" s="25"/>
      <c r="S76" s="25"/>
      <c r="T76" s="25"/>
    </row>
    <row r="77" spans="1:20">
      <c r="A77" s="25"/>
      <c r="B77" s="230" t="s">
        <v>249</v>
      </c>
      <c r="C77" s="225" t="s">
        <v>124</v>
      </c>
      <c r="D77" s="7" t="s">
        <v>408</v>
      </c>
      <c r="E77" s="226" t="s">
        <v>426</v>
      </c>
      <c r="F77" s="237" t="s">
        <v>398</v>
      </c>
      <c r="G77" s="225">
        <v>5</v>
      </c>
      <c r="H77" s="7">
        <v>12</v>
      </c>
      <c r="I77" s="7" t="s">
        <v>403</v>
      </c>
      <c r="J77" s="7" t="s">
        <v>403</v>
      </c>
      <c r="K77" s="7" t="s">
        <v>403</v>
      </c>
      <c r="L77" s="7">
        <v>2</v>
      </c>
      <c r="M77" s="232" t="s">
        <v>403</v>
      </c>
      <c r="N77" s="234" t="s">
        <v>427</v>
      </c>
      <c r="O77" s="25"/>
      <c r="P77" s="25"/>
      <c r="Q77" s="25"/>
      <c r="R77" s="25"/>
      <c r="S77" s="25"/>
      <c r="T77" s="25"/>
    </row>
    <row r="78" spans="1:20">
      <c r="A78" s="25"/>
      <c r="B78" s="230" t="s">
        <v>253</v>
      </c>
      <c r="C78" s="334" t="s">
        <v>399</v>
      </c>
      <c r="D78" s="9" t="s">
        <v>399</v>
      </c>
      <c r="E78" s="232" t="s">
        <v>402</v>
      </c>
      <c r="F78" s="237" t="s">
        <v>403</v>
      </c>
      <c r="G78" s="225" t="s">
        <v>403</v>
      </c>
      <c r="H78" s="7" t="s">
        <v>403</v>
      </c>
      <c r="I78" s="7">
        <v>1</v>
      </c>
      <c r="J78" s="7" t="s">
        <v>403</v>
      </c>
      <c r="K78" s="7" t="s">
        <v>403</v>
      </c>
      <c r="L78" s="7" t="s">
        <v>403</v>
      </c>
      <c r="M78" s="232" t="s">
        <v>403</v>
      </c>
      <c r="N78" s="234" t="s">
        <v>402</v>
      </c>
      <c r="O78" s="25"/>
      <c r="P78" s="25"/>
      <c r="Q78" s="25"/>
      <c r="R78" s="25"/>
      <c r="S78" s="25"/>
      <c r="T78" s="25"/>
    </row>
    <row r="79" spans="1:20" ht="30">
      <c r="A79" s="25"/>
      <c r="B79" s="230" t="s">
        <v>250</v>
      </c>
      <c r="C79" s="225" t="s">
        <v>124</v>
      </c>
      <c r="D79" s="7" t="s">
        <v>408</v>
      </c>
      <c r="E79" s="232" t="s">
        <v>428</v>
      </c>
      <c r="F79" s="237" t="s">
        <v>398</v>
      </c>
      <c r="G79" s="225">
        <v>20</v>
      </c>
      <c r="H79" s="7" t="s">
        <v>420</v>
      </c>
      <c r="I79" s="7" t="s">
        <v>403</v>
      </c>
      <c r="J79" s="7" t="s">
        <v>403</v>
      </c>
      <c r="K79" s="7" t="s">
        <v>429</v>
      </c>
      <c r="L79" s="7">
        <v>10</v>
      </c>
      <c r="M79" s="232" t="s">
        <v>429</v>
      </c>
      <c r="N79" s="234" t="s">
        <v>430</v>
      </c>
      <c r="O79" s="25"/>
      <c r="P79" s="25"/>
      <c r="Q79" s="25"/>
      <c r="R79" s="25"/>
      <c r="S79" s="25"/>
      <c r="T79" s="25"/>
    </row>
    <row r="80" spans="1:20" ht="30">
      <c r="A80" s="25"/>
      <c r="B80" s="230" t="s">
        <v>246</v>
      </c>
      <c r="C80" s="225" t="s">
        <v>124</v>
      </c>
      <c r="D80" s="7" t="s">
        <v>408</v>
      </c>
      <c r="E80" s="226" t="s">
        <v>431</v>
      </c>
      <c r="F80" s="237" t="s">
        <v>398</v>
      </c>
      <c r="G80" s="225">
        <v>20</v>
      </c>
      <c r="H80" s="7" t="s">
        <v>420</v>
      </c>
      <c r="I80" s="7" t="s">
        <v>403</v>
      </c>
      <c r="J80" s="7" t="s">
        <v>403</v>
      </c>
      <c r="K80" s="7" t="s">
        <v>403</v>
      </c>
      <c r="L80" s="7">
        <v>10</v>
      </c>
      <c r="M80" s="232" t="s">
        <v>403</v>
      </c>
      <c r="N80" s="234" t="s">
        <v>432</v>
      </c>
      <c r="O80" s="25"/>
      <c r="P80" s="25"/>
      <c r="Q80" s="25"/>
      <c r="R80" s="25"/>
      <c r="S80" s="25"/>
      <c r="T80" s="25"/>
    </row>
    <row r="81" spans="1:20" ht="30">
      <c r="A81" s="25"/>
      <c r="B81" s="230" t="s">
        <v>251</v>
      </c>
      <c r="C81" s="225" t="s">
        <v>124</v>
      </c>
      <c r="D81" s="7" t="s">
        <v>408</v>
      </c>
      <c r="E81" s="232" t="s">
        <v>433</v>
      </c>
      <c r="F81" s="237" t="s">
        <v>398</v>
      </c>
      <c r="G81" s="225">
        <v>20</v>
      </c>
      <c r="H81" s="7" t="s">
        <v>420</v>
      </c>
      <c r="I81" s="7" t="s">
        <v>403</v>
      </c>
      <c r="J81" s="7" t="s">
        <v>403</v>
      </c>
      <c r="K81" s="7" t="s">
        <v>403</v>
      </c>
      <c r="L81" s="7">
        <v>10</v>
      </c>
      <c r="M81" s="232">
        <v>10</v>
      </c>
      <c r="N81" s="234" t="s">
        <v>430</v>
      </c>
      <c r="O81" s="25"/>
      <c r="P81" s="25"/>
      <c r="Q81" s="25"/>
      <c r="R81" s="25"/>
      <c r="S81" s="25"/>
      <c r="T81" s="25"/>
    </row>
    <row r="82" spans="1:20">
      <c r="A82" s="25"/>
      <c r="B82" s="230" t="s">
        <v>247</v>
      </c>
      <c r="C82" s="225" t="s">
        <v>124</v>
      </c>
      <c r="D82" s="7" t="s">
        <v>408</v>
      </c>
      <c r="E82" s="226" t="s">
        <v>434</v>
      </c>
      <c r="F82" s="237" t="s">
        <v>398</v>
      </c>
      <c r="G82" s="225">
        <v>20</v>
      </c>
      <c r="H82" s="7" t="s">
        <v>420</v>
      </c>
      <c r="I82" s="7" t="s">
        <v>403</v>
      </c>
      <c r="J82" s="7" t="s">
        <v>403</v>
      </c>
      <c r="K82" s="7" t="s">
        <v>403</v>
      </c>
      <c r="L82" s="7">
        <v>10</v>
      </c>
      <c r="M82" s="232">
        <v>10</v>
      </c>
      <c r="N82" s="234" t="s">
        <v>411</v>
      </c>
      <c r="O82" s="25"/>
      <c r="P82" s="25"/>
      <c r="Q82" s="25"/>
      <c r="R82" s="25"/>
      <c r="S82" s="25"/>
      <c r="T82" s="25"/>
    </row>
    <row r="83" spans="1:20">
      <c r="A83" s="25"/>
      <c r="B83" s="230" t="s">
        <v>270</v>
      </c>
      <c r="C83" s="225" t="s">
        <v>124</v>
      </c>
      <c r="D83" s="7" t="s">
        <v>408</v>
      </c>
      <c r="E83" s="226" t="s">
        <v>270</v>
      </c>
      <c r="F83" s="237" t="s">
        <v>398</v>
      </c>
      <c r="G83" s="225">
        <v>5</v>
      </c>
      <c r="H83" s="7">
        <v>10</v>
      </c>
      <c r="I83" s="7" t="s">
        <v>403</v>
      </c>
      <c r="J83" s="7" t="s">
        <v>403</v>
      </c>
      <c r="K83" s="7" t="s">
        <v>403</v>
      </c>
      <c r="L83" s="7">
        <v>4</v>
      </c>
      <c r="M83" s="232">
        <v>10</v>
      </c>
      <c r="N83" s="234" t="s">
        <v>411</v>
      </c>
      <c r="O83" s="25"/>
      <c r="P83" s="25"/>
      <c r="Q83" s="25"/>
      <c r="R83" s="25"/>
      <c r="S83" s="25"/>
      <c r="T83" s="25"/>
    </row>
    <row r="84" spans="1:20">
      <c r="A84" s="25"/>
      <c r="B84" s="230" t="s">
        <v>269</v>
      </c>
      <c r="C84" s="225" t="s">
        <v>124</v>
      </c>
      <c r="D84" s="7" t="s">
        <v>408</v>
      </c>
      <c r="E84" s="226" t="s">
        <v>269</v>
      </c>
      <c r="F84" s="237" t="s">
        <v>398</v>
      </c>
      <c r="G84" s="225">
        <v>5</v>
      </c>
      <c r="H84" s="7">
        <v>10</v>
      </c>
      <c r="I84" s="7" t="s">
        <v>403</v>
      </c>
      <c r="J84" s="7" t="s">
        <v>403</v>
      </c>
      <c r="K84" s="7" t="s">
        <v>403</v>
      </c>
      <c r="L84" s="7">
        <v>4</v>
      </c>
      <c r="M84" s="232">
        <v>10</v>
      </c>
      <c r="N84" s="234" t="s">
        <v>411</v>
      </c>
      <c r="O84" s="25"/>
      <c r="P84" s="25"/>
      <c r="Q84" s="25"/>
      <c r="R84" s="25"/>
      <c r="S84" s="25"/>
      <c r="T84" s="25"/>
    </row>
    <row r="85" spans="1:20">
      <c r="A85" s="25"/>
      <c r="B85" s="230" t="s">
        <v>271</v>
      </c>
      <c r="C85" s="334" t="s">
        <v>399</v>
      </c>
      <c r="D85" s="9" t="s">
        <v>399</v>
      </c>
      <c r="E85" s="232" t="s">
        <v>435</v>
      </c>
      <c r="F85" s="237" t="s">
        <v>403</v>
      </c>
      <c r="G85" s="225" t="s">
        <v>403</v>
      </c>
      <c r="H85" s="7" t="s">
        <v>403</v>
      </c>
      <c r="I85" s="7">
        <v>1</v>
      </c>
      <c r="J85" s="7" t="s">
        <v>403</v>
      </c>
      <c r="K85" s="7" t="s">
        <v>403</v>
      </c>
      <c r="L85" s="7" t="s">
        <v>403</v>
      </c>
      <c r="M85" s="232" t="s">
        <v>403</v>
      </c>
      <c r="N85" s="234" t="s">
        <v>436</v>
      </c>
      <c r="O85" s="25"/>
      <c r="P85" s="25"/>
      <c r="Q85" s="25"/>
      <c r="R85" s="25"/>
      <c r="S85" s="25"/>
      <c r="T85" s="25"/>
    </row>
    <row r="86" spans="1:20">
      <c r="A86" s="25"/>
      <c r="B86" s="230"/>
      <c r="C86" s="225"/>
      <c r="D86" s="7"/>
      <c r="E86" s="226"/>
      <c r="F86" s="237"/>
      <c r="G86" s="225"/>
      <c r="H86" s="7"/>
      <c r="I86" s="7"/>
      <c r="J86" s="7"/>
      <c r="K86" s="7"/>
      <c r="L86" s="7"/>
      <c r="M86" s="226"/>
      <c r="N86" s="230"/>
      <c r="O86" s="25"/>
      <c r="P86" s="25"/>
      <c r="Q86" s="25"/>
      <c r="R86" s="25"/>
      <c r="S86" s="25"/>
      <c r="T86" s="25"/>
    </row>
    <row r="87" spans="1:20">
      <c r="A87" s="25"/>
      <c r="B87" s="230"/>
      <c r="C87" s="225"/>
      <c r="D87" s="7"/>
      <c r="E87" s="226"/>
      <c r="F87" s="237"/>
      <c r="G87" s="225"/>
      <c r="H87" s="7"/>
      <c r="I87" s="7"/>
      <c r="J87" s="7"/>
      <c r="K87" s="7"/>
      <c r="L87" s="7"/>
      <c r="M87" s="226"/>
      <c r="N87" s="230"/>
      <c r="O87" s="25"/>
      <c r="P87" s="25"/>
      <c r="Q87" s="25"/>
      <c r="R87" s="25"/>
      <c r="S87" s="25"/>
      <c r="T87" s="25"/>
    </row>
    <row r="88" spans="1:20">
      <c r="A88" s="25"/>
      <c r="B88" s="230"/>
      <c r="C88" s="225"/>
      <c r="D88" s="7"/>
      <c r="E88" s="226"/>
      <c r="F88" s="237"/>
      <c r="G88" s="225"/>
      <c r="H88" s="7"/>
      <c r="I88" s="7"/>
      <c r="J88" s="7"/>
      <c r="K88" s="7"/>
      <c r="L88" s="7"/>
      <c r="M88" s="226"/>
      <c r="N88" s="230"/>
      <c r="O88" s="25"/>
      <c r="P88" s="25"/>
      <c r="Q88" s="25"/>
      <c r="R88" s="25"/>
      <c r="S88" s="25"/>
      <c r="T88" s="25"/>
    </row>
    <row r="89" spans="1:20">
      <c r="A89" s="25"/>
      <c r="B89" s="230"/>
      <c r="C89" s="225"/>
      <c r="D89" s="7"/>
      <c r="E89" s="226"/>
      <c r="F89" s="237"/>
      <c r="G89" s="225"/>
      <c r="H89" s="7"/>
      <c r="I89" s="7"/>
      <c r="J89" s="7"/>
      <c r="K89" s="7"/>
      <c r="L89" s="7"/>
      <c r="M89" s="226"/>
      <c r="N89" s="230"/>
      <c r="O89" s="25"/>
      <c r="P89" s="25"/>
      <c r="Q89" s="25"/>
      <c r="R89" s="25"/>
      <c r="S89" s="25"/>
      <c r="T89" s="25"/>
    </row>
    <row r="90" spans="1:20">
      <c r="A90" s="25"/>
      <c r="B90" s="230"/>
      <c r="C90" s="225"/>
      <c r="D90" s="7"/>
      <c r="E90" s="226"/>
      <c r="F90" s="237"/>
      <c r="G90" s="225"/>
      <c r="H90" s="7"/>
      <c r="I90" s="7"/>
      <c r="J90" s="7"/>
      <c r="K90" s="7"/>
      <c r="L90" s="7"/>
      <c r="M90" s="226"/>
      <c r="N90" s="230"/>
      <c r="O90" s="25"/>
      <c r="P90" s="25"/>
      <c r="Q90" s="25"/>
      <c r="R90" s="25"/>
      <c r="S90" s="25"/>
      <c r="T90" s="25"/>
    </row>
    <row r="91" spans="1:20">
      <c r="A91" s="25"/>
      <c r="B91" s="230"/>
      <c r="C91" s="225"/>
      <c r="D91" s="7"/>
      <c r="E91" s="226"/>
      <c r="F91" s="237"/>
      <c r="G91" s="225"/>
      <c r="H91" s="7"/>
      <c r="I91" s="7"/>
      <c r="J91" s="7"/>
      <c r="K91" s="7"/>
      <c r="L91" s="7"/>
      <c r="M91" s="226"/>
      <c r="N91" s="230"/>
      <c r="O91" s="25"/>
      <c r="P91" s="25"/>
      <c r="Q91" s="25"/>
      <c r="R91" s="25"/>
      <c r="S91" s="25"/>
      <c r="T91" s="25"/>
    </row>
    <row r="92" spans="1:20">
      <c r="A92" s="25"/>
      <c r="B92" s="230"/>
      <c r="C92" s="225"/>
      <c r="D92" s="7"/>
      <c r="E92" s="226"/>
      <c r="F92" s="237"/>
      <c r="G92" s="225"/>
      <c r="H92" s="7"/>
      <c r="I92" s="7"/>
      <c r="J92" s="7"/>
      <c r="K92" s="7"/>
      <c r="L92" s="7"/>
      <c r="M92" s="226"/>
      <c r="N92" s="230"/>
      <c r="O92" s="25"/>
      <c r="P92" s="25"/>
      <c r="Q92" s="25"/>
      <c r="R92" s="25"/>
      <c r="S92" s="25"/>
      <c r="T92" s="25"/>
    </row>
    <row r="93" spans="1:20">
      <c r="A93" s="25"/>
      <c r="B93" s="230"/>
      <c r="C93" s="225"/>
      <c r="D93" s="7"/>
      <c r="E93" s="226"/>
      <c r="F93" s="237"/>
      <c r="G93" s="225"/>
      <c r="H93" s="7"/>
      <c r="I93" s="7"/>
      <c r="J93" s="7"/>
      <c r="K93" s="7"/>
      <c r="L93" s="7"/>
      <c r="M93" s="226"/>
      <c r="N93" s="230"/>
      <c r="O93" s="25"/>
      <c r="P93" s="25"/>
      <c r="Q93" s="25"/>
      <c r="R93" s="25"/>
      <c r="S93" s="25"/>
      <c r="T93" s="25"/>
    </row>
    <row r="94" spans="1:20">
      <c r="A94" s="25"/>
      <c r="B94" s="230"/>
      <c r="C94" s="225"/>
      <c r="D94" s="7"/>
      <c r="E94" s="226"/>
      <c r="F94" s="237"/>
      <c r="G94" s="225"/>
      <c r="H94" s="7"/>
      <c r="I94" s="7"/>
      <c r="J94" s="7"/>
      <c r="K94" s="7"/>
      <c r="L94" s="7"/>
      <c r="M94" s="226"/>
      <c r="N94" s="230"/>
      <c r="O94" s="25"/>
      <c r="P94" s="25"/>
      <c r="Q94" s="25"/>
      <c r="R94" s="25"/>
      <c r="S94" s="25"/>
      <c r="T94" s="25"/>
    </row>
    <row r="95" spans="1:20">
      <c r="A95" s="25"/>
      <c r="B95" s="230"/>
      <c r="C95" s="225"/>
      <c r="D95" s="7"/>
      <c r="E95" s="226"/>
      <c r="F95" s="237"/>
      <c r="G95" s="225"/>
      <c r="H95" s="7"/>
      <c r="I95" s="7"/>
      <c r="J95" s="7"/>
      <c r="K95" s="7"/>
      <c r="L95" s="7"/>
      <c r="M95" s="226"/>
      <c r="N95" s="230"/>
      <c r="O95" s="25"/>
      <c r="P95" s="25"/>
      <c r="Q95" s="25"/>
      <c r="R95" s="25"/>
      <c r="S95" s="25"/>
      <c r="T95" s="25"/>
    </row>
    <row r="96" spans="1:20">
      <c r="A96" s="25"/>
      <c r="B96" s="230"/>
      <c r="C96" s="225"/>
      <c r="D96" s="7"/>
      <c r="E96" s="226"/>
      <c r="F96" s="237"/>
      <c r="G96" s="225"/>
      <c r="H96" s="7"/>
      <c r="I96" s="7"/>
      <c r="J96" s="7"/>
      <c r="K96" s="7"/>
      <c r="L96" s="7"/>
      <c r="M96" s="226"/>
      <c r="N96" s="230"/>
      <c r="O96" s="25"/>
      <c r="P96" s="25"/>
      <c r="Q96" s="25"/>
      <c r="R96" s="25"/>
      <c r="S96" s="25"/>
      <c r="T96" s="25"/>
    </row>
    <row r="97" spans="1:20">
      <c r="A97" s="25"/>
      <c r="B97" s="230"/>
      <c r="C97" s="225"/>
      <c r="D97" s="7"/>
      <c r="E97" s="226"/>
      <c r="F97" s="237"/>
      <c r="G97" s="225"/>
      <c r="H97" s="7"/>
      <c r="I97" s="7"/>
      <c r="J97" s="7"/>
      <c r="K97" s="7"/>
      <c r="L97" s="7"/>
      <c r="M97" s="226"/>
      <c r="N97" s="230"/>
      <c r="O97" s="25"/>
      <c r="P97" s="25"/>
      <c r="Q97" s="25"/>
      <c r="R97" s="25"/>
      <c r="S97" s="25"/>
      <c r="T97" s="25"/>
    </row>
    <row r="98" spans="1:20">
      <c r="A98" s="25"/>
      <c r="B98" s="230"/>
      <c r="C98" s="225"/>
      <c r="D98" s="7"/>
      <c r="E98" s="226"/>
      <c r="F98" s="237"/>
      <c r="G98" s="225"/>
      <c r="H98" s="7"/>
      <c r="I98" s="7"/>
      <c r="J98" s="7"/>
      <c r="K98" s="7"/>
      <c r="L98" s="7"/>
      <c r="M98" s="226"/>
      <c r="N98" s="230"/>
      <c r="O98" s="25"/>
      <c r="P98" s="25"/>
      <c r="Q98" s="25"/>
      <c r="R98" s="25"/>
      <c r="S98" s="25"/>
      <c r="T98" s="25"/>
    </row>
    <row r="99" spans="1:20">
      <c r="A99" s="25"/>
      <c r="B99" s="230"/>
      <c r="C99" s="225"/>
      <c r="D99" s="7"/>
      <c r="E99" s="226"/>
      <c r="F99" s="237"/>
      <c r="G99" s="225"/>
      <c r="H99" s="7"/>
      <c r="I99" s="7"/>
      <c r="J99" s="7"/>
      <c r="K99" s="7"/>
      <c r="L99" s="7"/>
      <c r="M99" s="226"/>
      <c r="N99" s="230"/>
      <c r="O99" s="25"/>
      <c r="P99" s="25"/>
      <c r="Q99" s="25"/>
      <c r="R99" s="25"/>
      <c r="S99" s="25"/>
      <c r="T99" s="25"/>
    </row>
    <row r="100" spans="1:20">
      <c r="A100" s="25"/>
      <c r="B100" s="230"/>
      <c r="C100" s="225"/>
      <c r="D100" s="7"/>
      <c r="E100" s="226"/>
      <c r="F100" s="237"/>
      <c r="G100" s="225"/>
      <c r="H100" s="7"/>
      <c r="I100" s="7"/>
      <c r="J100" s="7"/>
      <c r="K100" s="7"/>
      <c r="L100" s="7"/>
      <c r="M100" s="226"/>
      <c r="N100" s="230"/>
      <c r="O100" s="25"/>
      <c r="P100" s="25"/>
      <c r="Q100" s="25"/>
      <c r="R100" s="25"/>
      <c r="S100" s="25"/>
      <c r="T100" s="25"/>
    </row>
    <row r="101" spans="1:20">
      <c r="A101" s="25"/>
      <c r="B101" s="230"/>
      <c r="C101" s="225"/>
      <c r="D101" s="7"/>
      <c r="E101" s="226"/>
      <c r="F101" s="237"/>
      <c r="G101" s="225"/>
      <c r="H101" s="7"/>
      <c r="I101" s="7"/>
      <c r="J101" s="7"/>
      <c r="K101" s="7"/>
      <c r="L101" s="7"/>
      <c r="M101" s="226"/>
      <c r="N101" s="230"/>
      <c r="O101" s="25"/>
      <c r="P101" s="25"/>
      <c r="Q101" s="25"/>
      <c r="R101" s="25"/>
      <c r="S101" s="25"/>
      <c r="T101" s="25"/>
    </row>
    <row r="102" spans="1:20">
      <c r="A102" s="25"/>
      <c r="B102" s="230"/>
      <c r="C102" s="225"/>
      <c r="D102" s="7"/>
      <c r="E102" s="226"/>
      <c r="F102" s="237"/>
      <c r="G102" s="225"/>
      <c r="H102" s="7"/>
      <c r="I102" s="7"/>
      <c r="J102" s="7"/>
      <c r="K102" s="7"/>
      <c r="L102" s="7"/>
      <c r="M102" s="226"/>
      <c r="N102" s="230"/>
      <c r="O102" s="25"/>
      <c r="P102" s="25"/>
      <c r="Q102" s="25"/>
      <c r="R102" s="25"/>
      <c r="S102" s="25"/>
      <c r="T102" s="25"/>
    </row>
    <row r="103" spans="1:20">
      <c r="A103" s="25"/>
      <c r="B103" s="230"/>
      <c r="C103" s="225"/>
      <c r="D103" s="7"/>
      <c r="E103" s="226"/>
      <c r="F103" s="237"/>
      <c r="G103" s="225"/>
      <c r="H103" s="7"/>
      <c r="I103" s="7"/>
      <c r="J103" s="7"/>
      <c r="K103" s="7"/>
      <c r="L103" s="7"/>
      <c r="M103" s="226"/>
      <c r="N103" s="230"/>
      <c r="O103" s="25"/>
      <c r="P103" s="25"/>
      <c r="Q103" s="25"/>
      <c r="R103" s="25"/>
      <c r="S103" s="25"/>
      <c r="T103" s="25"/>
    </row>
    <row r="104" spans="1:20">
      <c r="A104" s="25"/>
      <c r="B104" s="230"/>
      <c r="C104" s="225"/>
      <c r="D104" s="7"/>
      <c r="E104" s="226"/>
      <c r="F104" s="237"/>
      <c r="G104" s="225"/>
      <c r="H104" s="7"/>
      <c r="I104" s="7"/>
      <c r="J104" s="7"/>
      <c r="K104" s="7"/>
      <c r="L104" s="7"/>
      <c r="M104" s="226"/>
      <c r="N104" s="230"/>
      <c r="O104" s="25"/>
      <c r="P104" s="25"/>
      <c r="Q104" s="25"/>
      <c r="R104" s="25"/>
      <c r="S104" s="25"/>
      <c r="T104" s="25"/>
    </row>
    <row r="105" spans="1:20">
      <c r="A105" s="25"/>
      <c r="B105" s="230"/>
      <c r="C105" s="225"/>
      <c r="D105" s="7"/>
      <c r="E105" s="226"/>
      <c r="F105" s="237"/>
      <c r="G105" s="225"/>
      <c r="H105" s="7"/>
      <c r="I105" s="7"/>
      <c r="J105" s="7"/>
      <c r="K105" s="7"/>
      <c r="L105" s="7"/>
      <c r="M105" s="226"/>
      <c r="N105" s="230"/>
      <c r="O105" s="25"/>
      <c r="P105" s="25"/>
      <c r="Q105" s="25"/>
      <c r="R105" s="25"/>
      <c r="S105" s="25"/>
      <c r="T105" s="25"/>
    </row>
    <row r="106" spans="1:20">
      <c r="A106" s="25"/>
      <c r="B106" s="231"/>
      <c r="C106" s="227"/>
      <c r="D106" s="228"/>
      <c r="E106" s="229"/>
      <c r="F106" s="337"/>
      <c r="G106" s="227"/>
      <c r="H106" s="228"/>
      <c r="I106" s="228"/>
      <c r="J106" s="228"/>
      <c r="K106" s="228"/>
      <c r="L106" s="228"/>
      <c r="M106" s="229"/>
      <c r="N106" s="231"/>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5E5C"/>
  </sheetPr>
  <dimension ref="A1:XEZ416"/>
  <sheetViews>
    <sheetView workbookViewId="0"/>
  </sheetViews>
  <sheetFormatPr defaultColWidth="2.85546875" defaultRowHeight="15"/>
  <cols>
    <col min="1" max="1" width="25.140625" customWidth="1"/>
    <col min="2" max="2" width="8.7109375" customWidth="1"/>
    <col min="3" max="3" width="42" customWidth="1"/>
    <col min="4" max="4" width="18.85546875" customWidth="1"/>
    <col min="5" max="5" width="32.42578125" customWidth="1"/>
    <col min="6" max="6" width="19.5703125" customWidth="1"/>
    <col min="7" max="7" width="32" customWidth="1"/>
    <col min="8" max="8" width="8.7109375" customWidth="1"/>
    <col min="9" max="9" width="82.42578125" customWidth="1"/>
    <col min="10" max="10" width="13.7109375" customWidth="1"/>
    <col min="11" max="11" width="35.28515625" customWidth="1"/>
    <col min="12" max="12" width="8.7109375" customWidth="1"/>
    <col min="13" max="13" width="48.5703125" customWidth="1"/>
    <col min="14" max="14" width="8.7109375" customWidth="1"/>
    <col min="15" max="15" width="33.42578125" customWidth="1"/>
    <col min="16" max="16" width="8.7109375" customWidth="1"/>
    <col min="17" max="17" width="44" customWidth="1"/>
    <col min="18" max="18" width="8.7109375" customWidth="1"/>
    <col min="19" max="19" width="35.7109375" customWidth="1"/>
    <col min="20" max="20" width="8.7109375" customWidth="1"/>
    <col min="21" max="21" width="61.5703125" customWidth="1"/>
    <col min="22" max="22" width="12" customWidth="1"/>
    <col min="23" max="23" width="81.85546875" customWidth="1"/>
    <col min="24" max="24" width="61.140625" customWidth="1"/>
    <col min="25" max="25" width="47.7109375" customWidth="1"/>
    <col min="26" max="26" width="17" customWidth="1"/>
    <col min="27" max="27" width="48.140625" customWidth="1"/>
    <col min="28" max="28" width="17" customWidth="1"/>
    <col min="29" max="29" width="48.140625" customWidth="1"/>
    <col min="30" max="16380" width="2.85546875" hidden="1" customWidth="1"/>
    <col min="16381" max="16384" width="2.85546875" style="25" customWidth="1"/>
  </cols>
  <sheetData>
    <row r="1" spans="1:29">
      <c r="A1" s="65" t="s">
        <v>437</v>
      </c>
      <c r="B1" s="25"/>
      <c r="C1" s="65" t="s">
        <v>211</v>
      </c>
      <c r="D1" s="25"/>
      <c r="E1" s="65" t="s">
        <v>215</v>
      </c>
      <c r="F1" s="25"/>
      <c r="G1" s="65" t="s">
        <v>438</v>
      </c>
      <c r="H1" s="25"/>
      <c r="I1" s="65" t="s">
        <v>439</v>
      </c>
      <c r="J1" s="25"/>
      <c r="K1" s="65" t="s">
        <v>440</v>
      </c>
      <c r="L1" s="25"/>
      <c r="M1" s="65" t="s">
        <v>219</v>
      </c>
      <c r="N1" s="25"/>
      <c r="O1" s="65" t="s">
        <v>441</v>
      </c>
      <c r="P1" s="25"/>
      <c r="Q1" s="65" t="s">
        <v>221</v>
      </c>
      <c r="R1" s="25"/>
      <c r="S1" s="65" t="s">
        <v>442</v>
      </c>
      <c r="T1" s="25"/>
      <c r="U1" s="65" t="s">
        <v>443</v>
      </c>
      <c r="V1" s="25"/>
      <c r="W1" s="65" t="s">
        <v>444</v>
      </c>
      <c r="X1" s="25"/>
      <c r="Y1" s="65" t="s">
        <v>262</v>
      </c>
      <c r="Z1" s="25"/>
      <c r="AA1" s="65" t="s">
        <v>445</v>
      </c>
      <c r="AB1" s="25"/>
      <c r="AC1" s="65" t="s">
        <v>446</v>
      </c>
    </row>
    <row r="2" spans="1:29">
      <c r="A2" s="64" t="s">
        <v>211</v>
      </c>
      <c r="B2" s="25"/>
      <c r="C2" s="17" t="s">
        <v>307</v>
      </c>
      <c r="D2" s="25"/>
      <c r="E2" s="64" t="s">
        <v>319</v>
      </c>
      <c r="F2" s="25"/>
      <c r="G2" s="64" t="s">
        <v>324</v>
      </c>
      <c r="H2" s="25"/>
      <c r="I2" s="64" t="s">
        <v>376</v>
      </c>
      <c r="J2" s="25"/>
      <c r="K2" s="64" t="s">
        <v>366</v>
      </c>
      <c r="L2" s="25"/>
      <c r="M2" s="64" t="s">
        <v>333</v>
      </c>
      <c r="N2" s="25"/>
      <c r="O2" s="64" t="s">
        <v>337</v>
      </c>
      <c r="P2" s="25"/>
      <c r="Q2" s="64" t="s">
        <v>340</v>
      </c>
      <c r="R2" s="25"/>
      <c r="S2" s="64" t="s">
        <v>362</v>
      </c>
      <c r="T2" s="25"/>
      <c r="U2" s="64" t="s">
        <v>243</v>
      </c>
      <c r="V2" s="25"/>
      <c r="W2" s="64" t="s">
        <v>250</v>
      </c>
      <c r="X2" s="25"/>
      <c r="Y2" s="64" t="s">
        <v>269</v>
      </c>
      <c r="Z2" s="25"/>
      <c r="AA2" s="295" t="s">
        <v>367</v>
      </c>
      <c r="AB2" s="25"/>
      <c r="AC2" s="376" t="s">
        <v>104</v>
      </c>
    </row>
    <row r="3" spans="1:29">
      <c r="A3" s="64" t="s">
        <v>215</v>
      </c>
      <c r="B3" s="25"/>
      <c r="C3" s="17" t="s">
        <v>309</v>
      </c>
      <c r="D3" s="25"/>
      <c r="E3" s="64" t="s">
        <v>320</v>
      </c>
      <c r="F3" s="25"/>
      <c r="G3" s="64" t="s">
        <v>325</v>
      </c>
      <c r="H3" s="25"/>
      <c r="I3" s="64" t="s">
        <v>377</v>
      </c>
      <c r="J3" s="25"/>
      <c r="K3" s="64" t="s">
        <v>368</v>
      </c>
      <c r="L3" s="25"/>
      <c r="M3" s="64" t="s">
        <v>335</v>
      </c>
      <c r="N3" s="25"/>
      <c r="O3" s="66" t="s">
        <v>338</v>
      </c>
      <c r="P3" s="25"/>
      <c r="Q3" s="64" t="s">
        <v>341</v>
      </c>
      <c r="R3" s="25"/>
      <c r="S3" s="64" t="s">
        <v>363</v>
      </c>
      <c r="T3" s="25"/>
      <c r="U3" s="64" t="s">
        <v>244</v>
      </c>
      <c r="V3" s="25"/>
      <c r="W3" s="64" t="s">
        <v>246</v>
      </c>
      <c r="X3" s="25"/>
      <c r="Y3" s="64" t="s">
        <v>271</v>
      </c>
      <c r="Z3" s="25"/>
      <c r="AA3" s="295"/>
      <c r="AB3" s="25"/>
      <c r="AC3" s="295"/>
    </row>
    <row r="4" spans="1:29">
      <c r="A4" s="64" t="s">
        <v>216</v>
      </c>
      <c r="B4" s="25"/>
      <c r="C4" s="17" t="s">
        <v>310</v>
      </c>
      <c r="D4" s="25"/>
      <c r="E4" s="64" t="s">
        <v>321</v>
      </c>
      <c r="F4" s="25"/>
      <c r="G4" s="64" t="s">
        <v>326</v>
      </c>
      <c r="H4" s="25"/>
      <c r="I4" s="64" t="s">
        <v>378</v>
      </c>
      <c r="J4" s="25"/>
      <c r="K4" s="64" t="s">
        <v>369</v>
      </c>
      <c r="L4" s="25"/>
      <c r="M4" s="66" t="s">
        <v>336</v>
      </c>
      <c r="N4" s="25"/>
      <c r="O4" s="295" t="s">
        <v>339</v>
      </c>
      <c r="P4" s="25"/>
      <c r="Q4" s="64" t="s">
        <v>344</v>
      </c>
      <c r="R4" s="25"/>
      <c r="S4" s="64" t="s">
        <v>364</v>
      </c>
      <c r="T4" s="25"/>
      <c r="U4" s="64" t="s">
        <v>245</v>
      </c>
      <c r="V4" s="25"/>
      <c r="W4" s="64" t="s">
        <v>251</v>
      </c>
      <c r="X4" s="25"/>
      <c r="Y4" s="64" t="s">
        <v>270</v>
      </c>
      <c r="Z4" s="25"/>
      <c r="AA4" s="17"/>
      <c r="AB4" s="25"/>
      <c r="AC4" s="17"/>
    </row>
    <row r="5" spans="1:29">
      <c r="A5" s="64" t="s">
        <v>217</v>
      </c>
      <c r="B5" s="25"/>
      <c r="C5" s="17" t="s">
        <v>311</v>
      </c>
      <c r="D5" s="25"/>
      <c r="E5" s="64" t="s">
        <v>322</v>
      </c>
      <c r="F5" s="25"/>
      <c r="G5" s="64" t="s">
        <v>327</v>
      </c>
      <c r="H5" s="25"/>
      <c r="I5" s="17"/>
      <c r="J5" s="25"/>
      <c r="K5" s="64" t="s">
        <v>370</v>
      </c>
      <c r="L5" s="25"/>
      <c r="M5" s="17"/>
      <c r="N5" s="25"/>
      <c r="O5" s="17"/>
      <c r="P5" s="25"/>
      <c r="Q5" s="64" t="s">
        <v>345</v>
      </c>
      <c r="R5" s="25"/>
      <c r="S5" s="64" t="s">
        <v>365</v>
      </c>
      <c r="T5" s="25"/>
      <c r="U5" s="64" t="s">
        <v>249</v>
      </c>
      <c r="V5" s="25"/>
      <c r="W5" s="64" t="s">
        <v>247</v>
      </c>
      <c r="X5" s="25"/>
      <c r="Y5" s="64"/>
      <c r="Z5" s="25"/>
      <c r="AA5" s="17"/>
      <c r="AB5" s="25"/>
      <c r="AC5" s="17"/>
    </row>
    <row r="6" spans="1:29">
      <c r="A6" s="64" t="s">
        <v>218</v>
      </c>
      <c r="B6" s="25"/>
      <c r="C6" s="17" t="s">
        <v>312</v>
      </c>
      <c r="D6" s="25"/>
      <c r="E6" s="66" t="s">
        <v>323</v>
      </c>
      <c r="F6" s="25"/>
      <c r="G6" s="64" t="s">
        <v>328</v>
      </c>
      <c r="H6" s="25"/>
      <c r="I6" s="17"/>
      <c r="J6" s="25"/>
      <c r="K6" s="64" t="s">
        <v>371</v>
      </c>
      <c r="L6" s="25"/>
      <c r="M6" s="17"/>
      <c r="N6" s="25"/>
      <c r="O6" s="17"/>
      <c r="P6" s="25"/>
      <c r="Q6" s="64" t="s">
        <v>346</v>
      </c>
      <c r="R6" s="25"/>
      <c r="S6" s="17"/>
      <c r="T6" s="25"/>
      <c r="U6" s="64" t="s">
        <v>253</v>
      </c>
      <c r="V6" s="25"/>
      <c r="W6" s="17"/>
      <c r="X6" s="25"/>
      <c r="Y6" s="64"/>
      <c r="Z6" s="25"/>
      <c r="AA6" s="17"/>
      <c r="AB6" s="25"/>
      <c r="AC6" s="17"/>
    </row>
    <row r="7" spans="1:29">
      <c r="A7" s="64" t="s">
        <v>219</v>
      </c>
      <c r="B7" s="25"/>
      <c r="C7" s="17" t="s">
        <v>314</v>
      </c>
      <c r="D7" s="25"/>
      <c r="E7" s="17"/>
      <c r="F7" s="25"/>
      <c r="G7" s="64" t="s">
        <v>329</v>
      </c>
      <c r="H7" s="25"/>
      <c r="I7" s="17"/>
      <c r="J7" s="25"/>
      <c r="K7" s="64" t="s">
        <v>372</v>
      </c>
      <c r="L7" s="25"/>
      <c r="M7" s="17"/>
      <c r="N7" s="25"/>
      <c r="O7" s="17"/>
      <c r="P7" s="25"/>
      <c r="Q7" s="64" t="s">
        <v>347</v>
      </c>
      <c r="R7" s="25"/>
      <c r="S7" s="17"/>
      <c r="T7" s="25"/>
      <c r="U7" s="64" t="s">
        <v>250</v>
      </c>
      <c r="V7" s="25"/>
      <c r="W7" s="17"/>
      <c r="X7" s="25"/>
      <c r="Y7" s="64"/>
      <c r="Z7" s="25"/>
      <c r="AA7" s="17"/>
      <c r="AB7" s="25"/>
      <c r="AC7" s="17"/>
    </row>
    <row r="8" spans="1:29">
      <c r="A8" s="64" t="s">
        <v>220</v>
      </c>
      <c r="B8" s="25"/>
      <c r="C8" s="17" t="s">
        <v>315</v>
      </c>
      <c r="D8" s="25"/>
      <c r="E8" s="17"/>
      <c r="F8" s="25"/>
      <c r="G8" s="64" t="s">
        <v>330</v>
      </c>
      <c r="H8" s="25"/>
      <c r="I8" s="17"/>
      <c r="J8" s="25"/>
      <c r="K8" s="66" t="s">
        <v>373</v>
      </c>
      <c r="L8" s="25"/>
      <c r="M8" s="17"/>
      <c r="N8" s="25"/>
      <c r="O8" s="17"/>
      <c r="P8" s="25"/>
      <c r="Q8" s="64" t="s">
        <v>348</v>
      </c>
      <c r="R8" s="25"/>
      <c r="S8" s="17"/>
      <c r="T8" s="25"/>
      <c r="U8" s="64" t="s">
        <v>246</v>
      </c>
      <c r="V8" s="25"/>
      <c r="W8" s="17"/>
      <c r="X8" s="25"/>
      <c r="Y8" s="64"/>
      <c r="Z8" s="25"/>
      <c r="AA8" s="17"/>
      <c r="AB8" s="25"/>
      <c r="AC8" s="17"/>
    </row>
    <row r="9" spans="1:29">
      <c r="A9" s="64" t="s">
        <v>221</v>
      </c>
      <c r="B9" s="25"/>
      <c r="C9" s="17" t="s">
        <v>316</v>
      </c>
      <c r="D9" s="25"/>
      <c r="E9" s="17"/>
      <c r="F9" s="25"/>
      <c r="G9" s="66" t="s">
        <v>331</v>
      </c>
      <c r="H9" s="25"/>
      <c r="I9" s="17"/>
      <c r="J9" s="25"/>
      <c r="K9" s="64" t="s">
        <v>374</v>
      </c>
      <c r="L9" s="25"/>
      <c r="M9" s="17"/>
      <c r="N9" s="25"/>
      <c r="O9" s="17"/>
      <c r="P9" s="25"/>
      <c r="Q9" s="64" t="s">
        <v>353</v>
      </c>
      <c r="R9" s="25"/>
      <c r="S9" s="17"/>
      <c r="T9" s="25"/>
      <c r="U9" s="64" t="s">
        <v>251</v>
      </c>
      <c r="V9" s="25"/>
      <c r="W9" s="17"/>
      <c r="X9" s="25"/>
      <c r="Y9" s="64"/>
      <c r="Z9" s="25"/>
      <c r="AA9" s="17"/>
      <c r="AB9" s="25"/>
      <c r="AC9" s="17"/>
    </row>
    <row r="10" spans="1:29">
      <c r="A10" s="66" t="s">
        <v>222</v>
      </c>
      <c r="B10" s="25"/>
      <c r="C10" s="17" t="s">
        <v>317</v>
      </c>
      <c r="D10" s="25"/>
      <c r="E10" s="17"/>
      <c r="F10" s="25"/>
      <c r="G10" s="66" t="s">
        <v>332</v>
      </c>
      <c r="H10" s="25"/>
      <c r="I10" s="17"/>
      <c r="J10" s="25"/>
      <c r="K10" s="64" t="s">
        <v>375</v>
      </c>
      <c r="L10" s="25"/>
      <c r="M10" s="17"/>
      <c r="N10" s="25"/>
      <c r="O10" s="17"/>
      <c r="P10" s="25"/>
      <c r="Q10" s="64" t="s">
        <v>350</v>
      </c>
      <c r="R10" s="25"/>
      <c r="S10" s="17"/>
      <c r="T10" s="25"/>
      <c r="U10" s="66" t="s">
        <v>247</v>
      </c>
      <c r="V10" s="25"/>
      <c r="W10" s="17"/>
      <c r="X10" s="25"/>
      <c r="Y10" s="64"/>
      <c r="Z10" s="25"/>
      <c r="AA10" s="17"/>
      <c r="AB10" s="25"/>
      <c r="AC10" s="17"/>
    </row>
    <row r="11" spans="1:29">
      <c r="A11" s="132" t="s">
        <v>223</v>
      </c>
      <c r="B11" s="25"/>
      <c r="C11" s="17" t="s">
        <v>318</v>
      </c>
      <c r="D11" s="25"/>
      <c r="E11" s="17"/>
      <c r="F11" s="25"/>
      <c r="G11" s="17"/>
      <c r="H11" s="25"/>
      <c r="I11" s="17"/>
      <c r="J11" s="25"/>
      <c r="K11" s="17"/>
      <c r="L11" s="25"/>
      <c r="M11" s="17"/>
      <c r="N11" s="25"/>
      <c r="O11" s="17"/>
      <c r="P11" s="25"/>
      <c r="Q11" s="64" t="s">
        <v>351</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352</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349</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354</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355</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356</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357</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358</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359</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360</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361</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379</v>
      </c>
      <c r="B28" s="25"/>
      <c r="C28" s="50" t="s">
        <v>447</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379</v>
      </c>
      <c r="B29" s="25"/>
      <c r="C29" s="9" t="s">
        <v>235</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448</v>
      </c>
      <c r="K33" s="1051"/>
      <c r="L33" s="25"/>
      <c r="M33" s="25"/>
      <c r="N33" s="25"/>
      <c r="O33" s="25"/>
      <c r="P33" s="25"/>
      <c r="Q33" s="25"/>
      <c r="R33" s="25"/>
      <c r="S33" s="25"/>
      <c r="T33" s="25"/>
      <c r="U33" s="25"/>
      <c r="V33" s="25"/>
      <c r="W33" s="25"/>
      <c r="X33" s="25"/>
      <c r="Y33" s="25"/>
      <c r="Z33" s="25"/>
      <c r="AA33" s="25"/>
      <c r="AB33" s="25"/>
      <c r="AC33" s="25"/>
    </row>
    <row r="34" spans="1:29">
      <c r="A34" s="25"/>
      <c r="B34" s="1048" t="s">
        <v>306</v>
      </c>
      <c r="C34" s="1049"/>
      <c r="D34" s="1050"/>
      <c r="E34" s="25"/>
      <c r="F34" s="1048" t="s">
        <v>449</v>
      </c>
      <c r="G34" s="1049"/>
      <c r="H34" s="1050"/>
      <c r="I34" s="25"/>
      <c r="J34" s="50" t="s">
        <v>450</v>
      </c>
      <c r="K34" s="50" t="s">
        <v>451</v>
      </c>
      <c r="L34" s="25"/>
      <c r="M34" s="1054" t="s">
        <v>452</v>
      </c>
      <c r="N34" s="1054"/>
      <c r="O34" s="25"/>
      <c r="P34" s="25"/>
      <c r="Q34" s="1052" t="s">
        <v>453</v>
      </c>
      <c r="R34" s="1052"/>
      <c r="S34" s="1052"/>
      <c r="T34" s="1052"/>
      <c r="U34" s="25"/>
      <c r="V34" s="25"/>
      <c r="W34" s="25"/>
      <c r="X34" s="25"/>
      <c r="Y34" s="25"/>
      <c r="Z34" s="25"/>
      <c r="AA34" s="25"/>
      <c r="AB34" s="25"/>
      <c r="AC34" s="25"/>
    </row>
    <row r="35" spans="1:29">
      <c r="A35" s="25"/>
      <c r="B35" s="49" t="s">
        <v>96</v>
      </c>
      <c r="C35" s="50" t="s">
        <v>454</v>
      </c>
      <c r="D35" s="50" t="s">
        <v>455</v>
      </c>
      <c r="E35" s="25"/>
      <c r="F35" s="50" t="s">
        <v>454</v>
      </c>
      <c r="G35" s="49" t="s">
        <v>456</v>
      </c>
      <c r="H35" s="50" t="s">
        <v>457</v>
      </c>
      <c r="I35" s="25"/>
      <c r="J35" s="9" t="s">
        <v>212</v>
      </c>
      <c r="K35" s="7">
        <v>1</v>
      </c>
      <c r="L35" s="25"/>
      <c r="M35" s="50" t="s">
        <v>458</v>
      </c>
      <c r="N35" s="50" t="s">
        <v>457</v>
      </c>
      <c r="O35" s="25"/>
      <c r="P35" s="25"/>
      <c r="Q35" s="50" t="s">
        <v>459</v>
      </c>
      <c r="R35" s="50" t="s">
        <v>460</v>
      </c>
      <c r="S35" s="50" t="s">
        <v>461</v>
      </c>
      <c r="T35" s="50" t="s">
        <v>462</v>
      </c>
      <c r="U35" s="25"/>
      <c r="V35" s="25"/>
      <c r="W35" s="235" t="s">
        <v>463</v>
      </c>
      <c r="X35" s="236" t="s">
        <v>464</v>
      </c>
      <c r="Y35" s="25"/>
      <c r="Z35" s="25"/>
      <c r="AA35" s="25"/>
      <c r="AB35" s="25"/>
      <c r="AC35" s="25"/>
    </row>
    <row r="36" spans="1:29" ht="43.5" customHeight="1">
      <c r="A36" s="25"/>
      <c r="B36" s="9" t="s">
        <v>334</v>
      </c>
      <c r="C36" s="9" t="s">
        <v>465</v>
      </c>
      <c r="D36" s="7">
        <v>1.1499999999999999</v>
      </c>
      <c r="E36" s="25"/>
      <c r="F36" s="9" t="s">
        <v>105</v>
      </c>
      <c r="G36" s="9" t="s">
        <v>466</v>
      </c>
      <c r="H36" s="7">
        <v>1.1499999999999999</v>
      </c>
      <c r="I36" s="25"/>
      <c r="J36" s="9" t="s">
        <v>214</v>
      </c>
      <c r="K36" s="7">
        <v>0.67</v>
      </c>
      <c r="L36" s="25"/>
      <c r="M36" s="15" t="s">
        <v>467</v>
      </c>
      <c r="N36" s="15">
        <v>1</v>
      </c>
      <c r="O36" s="25"/>
      <c r="P36" s="25"/>
      <c r="Q36" s="7" t="s">
        <v>468</v>
      </c>
      <c r="R36" s="7">
        <v>0.3</v>
      </c>
      <c r="S36" s="7">
        <f>R36*12</f>
        <v>3.5999999999999996</v>
      </c>
      <c r="T36" s="10">
        <f>3.14*(S36*S36)/10000</f>
        <v>4.0694399999999997E-3</v>
      </c>
      <c r="U36" s="25"/>
      <c r="V36" s="25"/>
      <c r="W36" s="17" t="s">
        <v>469</v>
      </c>
      <c r="X36" s="17" t="s">
        <v>470</v>
      </c>
      <c r="Y36" s="25"/>
      <c r="Z36" s="25"/>
      <c r="AA36" s="25"/>
      <c r="AB36" s="25"/>
      <c r="AC36" s="25"/>
    </row>
    <row r="37" spans="1:29" ht="55.5" customHeight="1">
      <c r="A37" s="25"/>
      <c r="B37" s="9" t="s">
        <v>214</v>
      </c>
      <c r="C37" s="9" t="s">
        <v>471</v>
      </c>
      <c r="D37" s="7">
        <v>1.1000000000000001</v>
      </c>
      <c r="E37" s="25"/>
      <c r="F37" s="9" t="s">
        <v>125</v>
      </c>
      <c r="G37" s="9" t="s">
        <v>472</v>
      </c>
      <c r="H37" s="7">
        <v>1</v>
      </c>
      <c r="I37" s="25"/>
      <c r="J37" s="9" t="s">
        <v>334</v>
      </c>
      <c r="K37" s="7">
        <v>0.33</v>
      </c>
      <c r="L37" s="25"/>
      <c r="M37" s="15" t="s">
        <v>473</v>
      </c>
      <c r="N37" s="15">
        <v>0.75</v>
      </c>
      <c r="O37" s="25"/>
      <c r="P37" s="25"/>
      <c r="Q37" s="7" t="s">
        <v>214</v>
      </c>
      <c r="R37" s="7">
        <v>0.9</v>
      </c>
      <c r="S37" s="7">
        <f>R37*12</f>
        <v>10.8</v>
      </c>
      <c r="T37" s="10">
        <f>3.14*(S37*S37)/10000</f>
        <v>3.6624960000000005E-2</v>
      </c>
      <c r="U37" s="25"/>
      <c r="V37" s="25"/>
      <c r="W37" s="17" t="s">
        <v>474</v>
      </c>
      <c r="X37" s="17" t="s">
        <v>475</v>
      </c>
      <c r="Y37" s="25"/>
      <c r="Z37" s="25"/>
      <c r="AA37" s="25"/>
      <c r="AB37" s="25"/>
      <c r="AC37" s="25"/>
    </row>
    <row r="38" spans="1:29" ht="30">
      <c r="A38" s="25"/>
      <c r="B38" s="16" t="s">
        <v>212</v>
      </c>
      <c r="C38" s="9" t="s">
        <v>476</v>
      </c>
      <c r="D38" s="7">
        <v>1</v>
      </c>
      <c r="E38" s="25"/>
      <c r="F38" s="9"/>
      <c r="G38" s="9"/>
      <c r="H38" s="7"/>
      <c r="I38" s="25"/>
      <c r="J38" s="9" t="s">
        <v>477</v>
      </c>
      <c r="K38" s="7">
        <v>0.1</v>
      </c>
      <c r="L38" s="25"/>
      <c r="M38" s="15" t="s">
        <v>478</v>
      </c>
      <c r="N38" s="15">
        <v>0.5</v>
      </c>
      <c r="O38" s="25"/>
      <c r="P38" s="25"/>
      <c r="Q38" s="7" t="s">
        <v>479</v>
      </c>
      <c r="R38" s="7">
        <v>1.3</v>
      </c>
      <c r="S38" s="7">
        <f>R38*12</f>
        <v>15.600000000000001</v>
      </c>
      <c r="T38" s="10">
        <f>3.14*(S38*S38)/10000</f>
        <v>7.6415040000000017E-2</v>
      </c>
      <c r="U38" s="25"/>
      <c r="V38" s="25"/>
      <c r="W38" s="17" t="s">
        <v>480</v>
      </c>
      <c r="X38" s="17" t="s">
        <v>481</v>
      </c>
      <c r="Y38" s="25"/>
      <c r="Z38" s="25"/>
      <c r="AA38" s="25"/>
      <c r="AB38" s="25"/>
      <c r="AC38" s="25"/>
    </row>
    <row r="39" spans="1:29">
      <c r="A39" s="25"/>
      <c r="B39" s="16" t="s">
        <v>382</v>
      </c>
      <c r="C39" s="9" t="s">
        <v>482</v>
      </c>
      <c r="D39" s="7">
        <v>1</v>
      </c>
      <c r="E39" s="25"/>
      <c r="F39" s="25"/>
      <c r="G39" s="25"/>
      <c r="H39" s="25"/>
      <c r="I39" s="25"/>
      <c r="J39" s="25"/>
      <c r="K39" s="25"/>
      <c r="L39" s="25"/>
      <c r="M39" s="25"/>
      <c r="N39" s="25"/>
      <c r="O39" s="25"/>
      <c r="P39" s="25"/>
      <c r="Q39" s="25"/>
      <c r="R39" s="25"/>
      <c r="S39" s="25"/>
      <c r="T39" s="25"/>
      <c r="U39" s="25"/>
      <c r="V39" s="25"/>
      <c r="W39" s="17" t="s">
        <v>483</v>
      </c>
      <c r="X39" s="17" t="s">
        <v>484</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485</v>
      </c>
      <c r="X40" s="17" t="s">
        <v>486</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487</v>
      </c>
      <c r="X41" s="17" t="s">
        <v>488</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489</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490</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491</v>
      </c>
      <c r="X44" s="17"/>
      <c r="Y44" s="25"/>
      <c r="Z44" s="25"/>
      <c r="AA44" s="25"/>
      <c r="AB44" s="25"/>
      <c r="AC44" s="25"/>
    </row>
    <row r="45" spans="1:29" ht="28.5" customHeight="1">
      <c r="A45" s="25"/>
      <c r="B45" s="972" t="s">
        <v>492</v>
      </c>
      <c r="C45" s="1046"/>
      <c r="D45" s="1047"/>
      <c r="E45" s="25"/>
      <c r="F45" s="972" t="s">
        <v>493</v>
      </c>
      <c r="G45" s="1047"/>
      <c r="H45" s="25"/>
      <c r="I45" s="1053" t="s">
        <v>494</v>
      </c>
      <c r="J45" s="1053"/>
      <c r="K45" s="1053"/>
      <c r="L45" s="25"/>
      <c r="M45" s="1052" t="s">
        <v>103</v>
      </c>
      <c r="N45" s="1052"/>
      <c r="O45" s="1052"/>
      <c r="P45" s="1052"/>
      <c r="Q45" s="25"/>
      <c r="R45" s="25"/>
      <c r="S45" s="972" t="s">
        <v>495</v>
      </c>
      <c r="T45" s="1046"/>
      <c r="U45" s="1047"/>
      <c r="V45" s="25"/>
      <c r="W45" s="17" t="s">
        <v>496</v>
      </c>
      <c r="X45" s="17"/>
      <c r="Y45" s="25"/>
      <c r="Z45" s="25"/>
      <c r="AA45" s="25"/>
      <c r="AB45" s="25"/>
      <c r="AC45" s="25"/>
    </row>
    <row r="46" spans="1:29" ht="60">
      <c r="A46" s="25"/>
      <c r="B46" s="49" t="s">
        <v>497</v>
      </c>
      <c r="C46" s="49" t="s">
        <v>498</v>
      </c>
      <c r="D46" s="49" t="s">
        <v>499</v>
      </c>
      <c r="E46" s="25"/>
      <c r="F46" s="49" t="s">
        <v>500</v>
      </c>
      <c r="G46" s="49" t="s">
        <v>501</v>
      </c>
      <c r="H46" s="25"/>
      <c r="I46" s="49" t="s">
        <v>502</v>
      </c>
      <c r="J46" s="49" t="s">
        <v>503</v>
      </c>
      <c r="K46" s="49" t="s">
        <v>504</v>
      </c>
      <c r="L46" s="25"/>
      <c r="M46" s="50" t="s">
        <v>459</v>
      </c>
      <c r="N46" s="50" t="s">
        <v>460</v>
      </c>
      <c r="O46" s="50" t="s">
        <v>461</v>
      </c>
      <c r="P46" s="50" t="s">
        <v>505</v>
      </c>
      <c r="Q46" s="25"/>
      <c r="R46" s="25"/>
      <c r="S46" s="49" t="s">
        <v>497</v>
      </c>
      <c r="T46" s="49" t="s">
        <v>498</v>
      </c>
      <c r="U46" s="49" t="s">
        <v>499</v>
      </c>
      <c r="V46" s="25"/>
      <c r="W46" s="17" t="s">
        <v>506</v>
      </c>
      <c r="X46" s="17"/>
      <c r="Y46" s="25"/>
      <c r="Z46" s="25"/>
      <c r="AA46" s="25"/>
      <c r="AB46" s="25"/>
      <c r="AC46" s="25"/>
    </row>
    <row r="47" spans="1:29" ht="60">
      <c r="A47" s="25"/>
      <c r="B47" s="7" t="s">
        <v>214</v>
      </c>
      <c r="C47" s="7">
        <v>4</v>
      </c>
      <c r="D47" s="21" t="s">
        <v>308</v>
      </c>
      <c r="E47" s="25"/>
      <c r="F47" s="7" t="s">
        <v>398</v>
      </c>
      <c r="G47" s="7">
        <v>3</v>
      </c>
      <c r="H47" s="25"/>
      <c r="I47" s="23">
        <v>0</v>
      </c>
      <c r="J47" s="23">
        <v>100</v>
      </c>
      <c r="K47" s="24">
        <v>1</v>
      </c>
      <c r="L47" s="25"/>
      <c r="M47" s="7" t="s">
        <v>468</v>
      </c>
      <c r="N47" s="7">
        <v>0.3</v>
      </c>
      <c r="O47" s="7">
        <f>N47*12</f>
        <v>3.5999999999999996</v>
      </c>
      <c r="P47" s="10">
        <f>3.14*(O47*O47)</f>
        <v>40.694399999999995</v>
      </c>
      <c r="Q47" s="25"/>
      <c r="R47" s="25"/>
      <c r="S47" s="7" t="s">
        <v>214</v>
      </c>
      <c r="T47" s="7">
        <v>4</v>
      </c>
      <c r="U47" s="9" t="s">
        <v>308</v>
      </c>
      <c r="V47" s="25"/>
      <c r="W47" s="17" t="s">
        <v>507</v>
      </c>
      <c r="X47" s="17"/>
      <c r="Y47" s="25"/>
      <c r="Z47" s="25"/>
      <c r="AA47" s="25"/>
      <c r="AB47" s="25"/>
      <c r="AC47" s="25"/>
    </row>
    <row r="48" spans="1:29" ht="60">
      <c r="A48" s="25"/>
      <c r="B48" s="7" t="s">
        <v>212</v>
      </c>
      <c r="C48" s="7">
        <v>2</v>
      </c>
      <c r="D48" s="21" t="s">
        <v>313</v>
      </c>
      <c r="E48" s="25"/>
      <c r="F48" s="7" t="s">
        <v>124</v>
      </c>
      <c r="G48" s="7">
        <v>2</v>
      </c>
      <c r="H48" s="25"/>
      <c r="I48" s="23">
        <v>1</v>
      </c>
      <c r="J48" s="23">
        <v>96.5</v>
      </c>
      <c r="K48" s="24">
        <v>0.96499999999999997</v>
      </c>
      <c r="L48" s="25"/>
      <c r="M48" s="7" t="s">
        <v>214</v>
      </c>
      <c r="N48" s="7">
        <v>0.6</v>
      </c>
      <c r="O48" s="7">
        <v>7.2</v>
      </c>
      <c r="P48" s="10">
        <f>3.14*(O48*O48)</f>
        <v>162.77760000000001</v>
      </c>
      <c r="Q48" s="25"/>
      <c r="R48" s="25"/>
      <c r="S48" s="7" t="s">
        <v>212</v>
      </c>
      <c r="T48" s="7">
        <v>2</v>
      </c>
      <c r="U48" s="9" t="s">
        <v>313</v>
      </c>
      <c r="V48" s="25"/>
      <c r="W48" s="17" t="s">
        <v>508</v>
      </c>
      <c r="X48" s="17"/>
      <c r="Y48" s="25"/>
      <c r="Z48" s="25"/>
      <c r="AA48" s="25"/>
      <c r="AB48" s="25"/>
      <c r="AC48" s="25"/>
    </row>
    <row r="49" spans="1:29" ht="30">
      <c r="A49" s="25"/>
      <c r="B49" s="7" t="s">
        <v>342</v>
      </c>
      <c r="C49" s="7">
        <v>0</v>
      </c>
      <c r="D49" s="21" t="s">
        <v>343</v>
      </c>
      <c r="E49" s="25"/>
      <c r="F49" s="9" t="s">
        <v>399</v>
      </c>
      <c r="G49" s="7">
        <v>1</v>
      </c>
      <c r="H49" s="25"/>
      <c r="I49" s="23">
        <v>2</v>
      </c>
      <c r="J49" s="23">
        <v>93.122500000000002</v>
      </c>
      <c r="K49" s="24">
        <v>0.93122499999999997</v>
      </c>
      <c r="L49" s="25"/>
      <c r="M49" s="7" t="s">
        <v>479</v>
      </c>
      <c r="N49" s="7">
        <v>0.9</v>
      </c>
      <c r="O49" s="7">
        <v>10.8</v>
      </c>
      <c r="P49" s="10">
        <f>3.14*(O49*O49)</f>
        <v>366.24960000000004</v>
      </c>
      <c r="Q49" s="25"/>
      <c r="R49" s="25"/>
      <c r="S49" s="7" t="s">
        <v>342</v>
      </c>
      <c r="T49" s="7">
        <v>1</v>
      </c>
      <c r="U49" s="9" t="s">
        <v>343</v>
      </c>
      <c r="V49" s="25"/>
      <c r="W49" s="17" t="s">
        <v>509</v>
      </c>
      <c r="X49" s="17"/>
      <c r="Y49" s="25"/>
      <c r="Z49" s="25"/>
      <c r="AA49" s="25"/>
      <c r="AB49" s="25"/>
      <c r="AC49" s="25"/>
    </row>
    <row r="50" spans="1:29" ht="60">
      <c r="A50" s="25"/>
      <c r="B50" s="7" t="s">
        <v>334</v>
      </c>
      <c r="C50" s="7">
        <v>6</v>
      </c>
      <c r="D50" s="21" t="s">
        <v>308</v>
      </c>
      <c r="E50" s="25"/>
      <c r="F50" s="9" t="s">
        <v>400</v>
      </c>
      <c r="G50" s="7">
        <v>1</v>
      </c>
      <c r="H50" s="25"/>
      <c r="I50" s="23">
        <v>3</v>
      </c>
      <c r="J50" s="23">
        <v>89.863212500000003</v>
      </c>
      <c r="K50" s="24">
        <v>0.898632125</v>
      </c>
      <c r="L50" s="25"/>
      <c r="M50" s="7" t="s">
        <v>510</v>
      </c>
      <c r="N50" s="7">
        <v>1.3</v>
      </c>
      <c r="O50" s="7">
        <v>15.6</v>
      </c>
      <c r="P50" s="10">
        <f>3.14*(O50*O50)</f>
        <v>764.15039999999999</v>
      </c>
      <c r="Q50" s="25"/>
      <c r="R50" s="25"/>
      <c r="S50" s="7" t="s">
        <v>334</v>
      </c>
      <c r="T50" s="7">
        <v>6</v>
      </c>
      <c r="U50" s="9" t="s">
        <v>308</v>
      </c>
      <c r="V50" s="25"/>
      <c r="W50" s="17" t="s">
        <v>511</v>
      </c>
      <c r="X50" s="17"/>
      <c r="Y50" s="25"/>
      <c r="Z50" s="25"/>
      <c r="AA50" s="25"/>
      <c r="AB50" s="25"/>
      <c r="AC50" s="25"/>
    </row>
    <row r="51" spans="1:29">
      <c r="A51" s="25"/>
      <c r="B51" s="25"/>
      <c r="C51" s="25"/>
      <c r="D51" s="25"/>
      <c r="E51" s="25"/>
      <c r="F51" s="7" t="s">
        <v>401</v>
      </c>
      <c r="G51" s="7">
        <v>0</v>
      </c>
      <c r="H51" s="25"/>
      <c r="I51" s="23">
        <v>4</v>
      </c>
      <c r="J51" s="23">
        <v>86.718000059999994</v>
      </c>
      <c r="K51" s="24">
        <v>0.86718000059999989</v>
      </c>
      <c r="L51" s="25"/>
      <c r="M51" s="25"/>
      <c r="N51" s="25"/>
      <c r="O51" s="25"/>
      <c r="P51" s="25"/>
      <c r="Q51" s="25"/>
      <c r="R51" s="25"/>
      <c r="S51" s="25"/>
      <c r="T51" s="25"/>
      <c r="U51" s="25"/>
      <c r="V51" s="25"/>
      <c r="W51" s="17" t="s">
        <v>512</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513</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514</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515</v>
      </c>
      <c r="X54" s="17"/>
      <c r="Y54" s="25"/>
      <c r="Z54" s="25"/>
      <c r="AA54" s="25"/>
      <c r="AB54" s="25"/>
      <c r="AC54" s="25"/>
    </row>
    <row r="55" spans="1:29" ht="14.6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516</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517</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518</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519</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520</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521</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522</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523</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524</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525</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526</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527</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528</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529</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530</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531</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532</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533</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534</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535</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536</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537</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538</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539</v>
      </c>
      <c r="X78" s="17"/>
      <c r="Y78" s="25"/>
      <c r="Z78" s="25"/>
      <c r="AA78" s="25"/>
      <c r="AB78" s="25"/>
      <c r="AC78" s="25"/>
    </row>
    <row r="79" spans="1:29">
      <c r="A79" s="25"/>
      <c r="B79" s="25"/>
      <c r="C79" s="25"/>
      <c r="D79" s="25"/>
      <c r="E79" s="25"/>
      <c r="F79" s="25"/>
      <c r="G79" s="25"/>
      <c r="H79" s="25"/>
      <c r="I79" s="23" t="s">
        <v>420</v>
      </c>
      <c r="J79" s="19">
        <v>31.979673609999999</v>
      </c>
      <c r="K79" s="24">
        <v>0.31979673609999998</v>
      </c>
      <c r="L79" s="25"/>
      <c r="M79" s="25"/>
      <c r="N79" s="25"/>
      <c r="O79" s="25"/>
      <c r="P79" s="25"/>
      <c r="Q79" s="25"/>
      <c r="R79" s="25"/>
      <c r="S79" s="25"/>
      <c r="T79" s="25"/>
      <c r="U79" s="25"/>
      <c r="V79" s="25"/>
      <c r="W79" s="17" t="s">
        <v>540</v>
      </c>
      <c r="X79" s="17"/>
      <c r="Y79" s="25"/>
      <c r="Z79" s="25"/>
      <c r="AA79" s="25"/>
      <c r="AB79" s="25"/>
      <c r="AC79" s="25"/>
    </row>
    <row r="80" spans="1:29">
      <c r="A80" s="25"/>
      <c r="B80" s="25"/>
      <c r="C80" s="25"/>
      <c r="D80" s="25"/>
      <c r="E80" s="25"/>
      <c r="F80" s="25"/>
      <c r="G80" s="25"/>
      <c r="H80" s="25"/>
      <c r="I80" s="9" t="s">
        <v>403</v>
      </c>
      <c r="J80" s="9" t="s">
        <v>382</v>
      </c>
      <c r="K80" s="9" t="s">
        <v>382</v>
      </c>
      <c r="L80" s="25"/>
      <c r="M80" s="25"/>
      <c r="N80" s="25"/>
      <c r="O80" s="25"/>
      <c r="P80" s="25"/>
      <c r="Q80" s="25"/>
      <c r="R80" s="25"/>
      <c r="S80" s="25"/>
      <c r="T80" s="25"/>
      <c r="U80" s="25"/>
      <c r="V80" s="25"/>
      <c r="W80" s="17" t="s">
        <v>541</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542</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543</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544</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545</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546</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547</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548</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549</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550</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551</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552</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553</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554</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555</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556</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557</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558</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559</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560</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561</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562</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563</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564</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565</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566</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567</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568</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569</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570</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571</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572</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573</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574</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575</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576</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577</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578</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579</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580</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581</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582</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583</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584</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585</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586</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587</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588</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589</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590</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591</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592</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593</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594</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595</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596</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597</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598</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599</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600</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601</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602</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603</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604</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605</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606</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607</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608</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609</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610</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611</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612</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613</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614</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615</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616</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617</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618</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619</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620</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621</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622</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623</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624</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625</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626</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627</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628</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629</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630</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631</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632</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633</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634</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635</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636</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637</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638</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639</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640</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641</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642</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643</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644</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645</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646</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647</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648</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649</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650</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651</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652</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653</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654</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655</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656</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657</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658</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659</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660</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661</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662</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663</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664</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665</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666</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667</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668</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669</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670</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671</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672</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673</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674</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675</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676</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677</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678</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679</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680</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681</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682</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683</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684</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685</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686</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687</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688</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689</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690</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691</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692</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693</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694</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695</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696</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697</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698</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699</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700</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701</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702</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703</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704</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705</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706</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707</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708</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709</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710</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711</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712</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713</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714</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715</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716</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717</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718</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719</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720</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721</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722</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723</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724</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725</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726</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727</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728</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729</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730</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731</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732</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733</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734</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735</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736</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737</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738</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739</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740</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741</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742</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743</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744</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745</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746</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747</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748</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749</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750</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751</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752</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753</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754</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755</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756</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757</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758</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759</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760</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761</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762</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763</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764</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765</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766</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767</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768</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769</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770</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771</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772</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773</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774</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775</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776</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777</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778</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779</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780</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781</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782</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783</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784</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785</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786</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787</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788</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789</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790</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791</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792</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793</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794</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795</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796</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797</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798</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799</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800</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801</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802</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803</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804</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805</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806</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807</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808</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809</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810</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811</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812</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813</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814</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815</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816</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817</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818</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819</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820</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821</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822</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823</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824</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825</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826</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827</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828</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829</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830</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831</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832</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833</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834</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835</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836</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837</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838</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839</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840</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841</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842</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843</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844</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845</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846</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847</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848</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849</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850</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851</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852</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853</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854</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855</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856</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857</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858</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859</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860</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861</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862</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863</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864</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865</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866</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867</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868</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869</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870</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871</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872</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873</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mergeCells count="10">
    <mergeCell ref="B45:D45"/>
    <mergeCell ref="B34:D34"/>
    <mergeCell ref="S45:U45"/>
    <mergeCell ref="J33:K33"/>
    <mergeCell ref="Q34:T34"/>
    <mergeCell ref="F45:G45"/>
    <mergeCell ref="I45:K45"/>
    <mergeCell ref="M45:P45"/>
    <mergeCell ref="F34:H34"/>
    <mergeCell ref="M34:N34"/>
  </mergeCells>
  <pageMargins left="0.7" right="0.7" top="0.75" bottom="0.75" header="0.3" footer="0.3"/>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5E5C"/>
  </sheetPr>
  <dimension ref="C3:E10"/>
  <sheetViews>
    <sheetView workbookViewId="0"/>
  </sheetViews>
  <sheetFormatPr defaultColWidth="9.28515625" defaultRowHeight="15"/>
  <cols>
    <col min="1" max="2" width="9.28515625" style="25"/>
    <col min="3" max="3" width="34.140625" style="25" customWidth="1"/>
    <col min="4" max="4" width="45.42578125" style="25" customWidth="1"/>
    <col min="5" max="5" width="38.7109375" style="25" customWidth="1"/>
    <col min="6" max="16384" width="9.28515625" style="25"/>
  </cols>
  <sheetData>
    <row r="3" spans="3:5">
      <c r="C3" s="1055" t="s">
        <v>874</v>
      </c>
      <c r="D3" s="749"/>
      <c r="E3" s="750"/>
    </row>
    <row r="4" spans="3:5">
      <c r="C4" s="91" t="s">
        <v>875</v>
      </c>
      <c r="D4" s="49" t="s">
        <v>876</v>
      </c>
      <c r="E4" s="92" t="s">
        <v>877</v>
      </c>
    </row>
    <row r="5" spans="3:5">
      <c r="C5" s="225" t="s">
        <v>878</v>
      </c>
      <c r="D5" s="7" t="s">
        <v>879</v>
      </c>
      <c r="E5" s="232" t="s">
        <v>880</v>
      </c>
    </row>
    <row r="6" spans="3:5" ht="30">
      <c r="C6" s="225" t="s">
        <v>881</v>
      </c>
      <c r="D6" s="9" t="s">
        <v>882</v>
      </c>
      <c r="E6" s="232" t="s">
        <v>883</v>
      </c>
    </row>
    <row r="7" spans="3:5" ht="30">
      <c r="C7" s="225" t="s">
        <v>884</v>
      </c>
      <c r="D7" s="9" t="s">
        <v>885</v>
      </c>
      <c r="E7" s="232" t="s">
        <v>886</v>
      </c>
    </row>
    <row r="8" spans="3:5" ht="105">
      <c r="C8" s="225" t="s">
        <v>887</v>
      </c>
      <c r="D8" s="9" t="s">
        <v>888</v>
      </c>
      <c r="E8" s="232" t="s">
        <v>889</v>
      </c>
    </row>
    <row r="9" spans="3:5" ht="30">
      <c r="C9" s="225" t="s">
        <v>890</v>
      </c>
      <c r="D9" s="9" t="s">
        <v>891</v>
      </c>
      <c r="E9" s="232" t="s">
        <v>892</v>
      </c>
    </row>
    <row r="10" spans="3:5" ht="75">
      <c r="C10" s="563" t="s">
        <v>893</v>
      </c>
      <c r="D10" s="564" t="s">
        <v>894</v>
      </c>
      <c r="E10" s="565" t="s">
        <v>3</v>
      </c>
    </row>
  </sheetData>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H157"/>
  <sheetViews>
    <sheetView workbookViewId="0"/>
  </sheetViews>
  <sheetFormatPr defaultColWidth="0" defaultRowHeight="15"/>
  <cols>
    <col min="1" max="1" width="3.28515625" customWidth="1"/>
    <col min="2" max="2" width="24.42578125" customWidth="1"/>
    <col min="3" max="3" width="34.140625" customWidth="1"/>
    <col min="4" max="4" width="41.85546875" customWidth="1"/>
    <col min="5" max="5" width="50.140625" customWidth="1"/>
    <col min="6" max="6" width="20.42578125" customWidth="1"/>
    <col min="7" max="8" width="8.7109375" customWidth="1"/>
    <col min="9" max="16384" width="8.7109375" hidden="1"/>
  </cols>
  <sheetData>
    <row r="1" spans="1:8">
      <c r="A1" s="60"/>
      <c r="B1" s="60"/>
      <c r="C1" s="60"/>
      <c r="D1" s="60"/>
      <c r="E1" s="60"/>
      <c r="F1" s="60"/>
      <c r="G1" s="60"/>
      <c r="H1" s="60"/>
    </row>
    <row r="2" spans="1:8" ht="19.149999999999999" customHeight="1">
      <c r="A2" s="25"/>
      <c r="B2" s="251" t="s">
        <v>895</v>
      </c>
      <c r="C2" s="252" t="s">
        <v>896</v>
      </c>
      <c r="D2" s="252" t="s">
        <v>897</v>
      </c>
      <c r="E2" s="253" t="s">
        <v>898</v>
      </c>
      <c r="F2" s="254" t="s">
        <v>95</v>
      </c>
      <c r="G2" s="60"/>
      <c r="H2" s="60"/>
    </row>
    <row r="3" spans="1:8" ht="21.6" customHeight="1">
      <c r="A3" s="25"/>
      <c r="B3" s="247" t="s">
        <v>899</v>
      </c>
      <c r="C3" s="255" t="s">
        <v>900</v>
      </c>
      <c r="D3" s="255" t="s">
        <v>901</v>
      </c>
      <c r="E3" s="248" t="s">
        <v>902</v>
      </c>
      <c r="F3" s="249" t="s">
        <v>214</v>
      </c>
      <c r="G3" s="25"/>
      <c r="H3" s="25"/>
    </row>
    <row r="4" spans="1:8">
      <c r="A4" s="25"/>
      <c r="B4" s="1056" t="s">
        <v>211</v>
      </c>
      <c r="C4" s="1059" t="s">
        <v>211</v>
      </c>
      <c r="D4" s="256" t="s">
        <v>903</v>
      </c>
      <c r="E4" s="238" t="s">
        <v>312</v>
      </c>
      <c r="F4" s="239" t="s">
        <v>212</v>
      </c>
      <c r="G4" s="25"/>
      <c r="H4" s="25"/>
    </row>
    <row r="5" spans="1:8">
      <c r="A5" s="25"/>
      <c r="B5" s="1057"/>
      <c r="C5" s="1060"/>
      <c r="D5" s="7" t="s">
        <v>904</v>
      </c>
      <c r="E5" s="9" t="s">
        <v>905</v>
      </c>
      <c r="F5" s="240" t="s">
        <v>212</v>
      </c>
      <c r="G5" s="25"/>
      <c r="H5" s="25"/>
    </row>
    <row r="6" spans="1:8">
      <c r="A6" s="25"/>
      <c r="B6" s="1057"/>
      <c r="C6" s="1060"/>
      <c r="D6" s="7" t="s">
        <v>906</v>
      </c>
      <c r="E6" s="9" t="s">
        <v>317</v>
      </c>
      <c r="F6" s="240" t="s">
        <v>212</v>
      </c>
      <c r="G6" s="25"/>
      <c r="H6" s="25"/>
    </row>
    <row r="7" spans="1:8">
      <c r="A7" s="25"/>
      <c r="B7" s="1057"/>
      <c r="C7" s="1060"/>
      <c r="D7" s="7" t="s">
        <v>907</v>
      </c>
      <c r="E7" s="9" t="s">
        <v>318</v>
      </c>
      <c r="F7" s="240" t="s">
        <v>212</v>
      </c>
      <c r="G7" s="25"/>
      <c r="H7" s="25"/>
    </row>
    <row r="8" spans="1:8">
      <c r="A8" s="25"/>
      <c r="B8" s="1057"/>
      <c r="C8" s="1060" t="s">
        <v>908</v>
      </c>
      <c r="D8" s="7" t="s">
        <v>909</v>
      </c>
      <c r="E8" s="9" t="s">
        <v>307</v>
      </c>
      <c r="F8" s="244" t="s">
        <v>214</v>
      </c>
      <c r="G8" s="25"/>
      <c r="H8" s="25"/>
    </row>
    <row r="9" spans="1:8">
      <c r="A9" s="25"/>
      <c r="B9" s="1057"/>
      <c r="C9" s="1060"/>
      <c r="D9" s="7" t="s">
        <v>910</v>
      </c>
      <c r="E9" s="9" t="s">
        <v>309</v>
      </c>
      <c r="F9" s="244" t="s">
        <v>214</v>
      </c>
      <c r="G9" s="25"/>
      <c r="H9" s="25"/>
    </row>
    <row r="10" spans="1:8">
      <c r="A10" s="25"/>
      <c r="B10" s="1057"/>
      <c r="C10" s="1060"/>
      <c r="D10" s="7" t="s">
        <v>911</v>
      </c>
      <c r="E10" s="9" t="s">
        <v>912</v>
      </c>
      <c r="F10" s="244" t="s">
        <v>214</v>
      </c>
      <c r="G10" s="25"/>
      <c r="H10" s="25"/>
    </row>
    <row r="11" spans="1:8">
      <c r="A11" s="25"/>
      <c r="B11" s="1057"/>
      <c r="C11" s="1060"/>
      <c r="D11" s="7" t="s">
        <v>913</v>
      </c>
      <c r="E11" s="9" t="s">
        <v>311</v>
      </c>
      <c r="F11" s="244" t="s">
        <v>214</v>
      </c>
      <c r="G11" s="25"/>
      <c r="H11" s="25"/>
    </row>
    <row r="12" spans="1:8">
      <c r="A12" s="25"/>
      <c r="B12" s="1057"/>
      <c r="C12" s="1060"/>
      <c r="D12" s="7" t="s">
        <v>914</v>
      </c>
      <c r="E12" s="9" t="s">
        <v>915</v>
      </c>
      <c r="F12" s="244" t="s">
        <v>214</v>
      </c>
      <c r="G12" s="25"/>
      <c r="H12" s="25"/>
    </row>
    <row r="13" spans="1:8">
      <c r="A13" s="25"/>
      <c r="B13" s="1057"/>
      <c r="C13" s="7" t="s">
        <v>315</v>
      </c>
      <c r="D13" s="7" t="s">
        <v>916</v>
      </c>
      <c r="E13" s="9" t="s">
        <v>315</v>
      </c>
      <c r="F13" s="240" t="s">
        <v>212</v>
      </c>
      <c r="G13" s="25"/>
      <c r="H13" s="25"/>
    </row>
    <row r="14" spans="1:8">
      <c r="A14" s="25"/>
      <c r="B14" s="1058"/>
      <c r="C14" s="228" t="s">
        <v>917</v>
      </c>
      <c r="D14" s="228" t="s">
        <v>918</v>
      </c>
      <c r="E14" s="241" t="s">
        <v>316</v>
      </c>
      <c r="F14" s="242" t="s">
        <v>212</v>
      </c>
      <c r="G14" s="25"/>
      <c r="H14" s="25"/>
    </row>
    <row r="15" spans="1:8">
      <c r="A15" s="25"/>
      <c r="B15" s="1056" t="s">
        <v>919</v>
      </c>
      <c r="C15" s="256" t="s">
        <v>920</v>
      </c>
      <c r="D15" s="256" t="s">
        <v>921</v>
      </c>
      <c r="E15" s="238" t="s">
        <v>320</v>
      </c>
      <c r="F15" s="239" t="s">
        <v>212</v>
      </c>
      <c r="G15" s="25"/>
      <c r="H15" s="25"/>
    </row>
    <row r="16" spans="1:8">
      <c r="A16" s="25"/>
      <c r="B16" s="1057"/>
      <c r="C16" s="7" t="s">
        <v>319</v>
      </c>
      <c r="D16" s="7" t="s">
        <v>922</v>
      </c>
      <c r="E16" s="9" t="s">
        <v>319</v>
      </c>
      <c r="F16" s="240" t="s">
        <v>212</v>
      </c>
      <c r="G16" s="25"/>
      <c r="H16" s="25"/>
    </row>
    <row r="17" spans="1:8">
      <c r="A17" s="25"/>
      <c r="B17" s="1057"/>
      <c r="C17" s="1060" t="s">
        <v>923</v>
      </c>
      <c r="D17" s="7" t="s">
        <v>924</v>
      </c>
      <c r="E17" s="9" t="s">
        <v>321</v>
      </c>
      <c r="F17" s="244" t="s">
        <v>214</v>
      </c>
      <c r="G17" s="25"/>
      <c r="H17" s="25"/>
    </row>
    <row r="18" spans="1:8">
      <c r="A18" s="25"/>
      <c r="B18" s="1057"/>
      <c r="C18" s="1060"/>
      <c r="D18" s="7" t="s">
        <v>925</v>
      </c>
      <c r="E18" s="9" t="s">
        <v>322</v>
      </c>
      <c r="F18" s="244" t="s">
        <v>214</v>
      </c>
      <c r="G18" s="25"/>
      <c r="H18" s="25"/>
    </row>
    <row r="19" spans="1:8">
      <c r="A19" s="25"/>
      <c r="B19" s="1058"/>
      <c r="C19" s="1061"/>
      <c r="D19" s="228" t="s">
        <v>926</v>
      </c>
      <c r="E19" s="241" t="s">
        <v>323</v>
      </c>
      <c r="F19" s="245" t="s">
        <v>214</v>
      </c>
      <c r="G19" s="25"/>
      <c r="H19" s="25"/>
    </row>
    <row r="20" spans="1:8">
      <c r="A20" s="25"/>
      <c r="B20" s="1056" t="s">
        <v>216</v>
      </c>
      <c r="C20" s="256" t="s">
        <v>927</v>
      </c>
      <c r="D20" s="256" t="s">
        <v>928</v>
      </c>
      <c r="E20" s="238" t="s">
        <v>330</v>
      </c>
      <c r="F20" s="239" t="s">
        <v>212</v>
      </c>
      <c r="G20" s="25"/>
      <c r="H20" s="25"/>
    </row>
    <row r="21" spans="1:8">
      <c r="A21" s="25"/>
      <c r="B21" s="1057"/>
      <c r="C21" s="1060" t="s">
        <v>929</v>
      </c>
      <c r="D21" s="7" t="s">
        <v>930</v>
      </c>
      <c r="E21" s="9" t="s">
        <v>324</v>
      </c>
      <c r="F21" s="244" t="s">
        <v>214</v>
      </c>
      <c r="G21" s="25"/>
      <c r="H21" s="25"/>
    </row>
    <row r="22" spans="1:8">
      <c r="A22" s="25"/>
      <c r="B22" s="1057"/>
      <c r="C22" s="1060"/>
      <c r="D22" s="7" t="s">
        <v>931</v>
      </c>
      <c r="E22" s="9" t="s">
        <v>325</v>
      </c>
      <c r="F22" s="244" t="s">
        <v>214</v>
      </c>
      <c r="G22" s="25"/>
      <c r="H22" s="25"/>
    </row>
    <row r="23" spans="1:8">
      <c r="A23" s="25"/>
      <c r="B23" s="1057"/>
      <c r="C23" s="1060"/>
      <c r="D23" s="7" t="s">
        <v>932</v>
      </c>
      <c r="E23" s="9" t="s">
        <v>326</v>
      </c>
      <c r="F23" s="244" t="s">
        <v>214</v>
      </c>
      <c r="G23" s="25"/>
      <c r="H23" s="25"/>
    </row>
    <row r="24" spans="1:8">
      <c r="A24" s="25"/>
      <c r="B24" s="1057"/>
      <c r="C24" s="1060"/>
      <c r="D24" s="7" t="s">
        <v>933</v>
      </c>
      <c r="E24" s="9" t="s">
        <v>327</v>
      </c>
      <c r="F24" s="244" t="s">
        <v>214</v>
      </c>
      <c r="G24" s="25"/>
      <c r="H24" s="25"/>
    </row>
    <row r="25" spans="1:8">
      <c r="A25" s="25"/>
      <c r="B25" s="1057"/>
      <c r="C25" s="1060"/>
      <c r="D25" s="7" t="s">
        <v>934</v>
      </c>
      <c r="E25" s="9" t="s">
        <v>328</v>
      </c>
      <c r="F25" s="244" t="s">
        <v>214</v>
      </c>
      <c r="G25" s="25"/>
      <c r="H25" s="25"/>
    </row>
    <row r="26" spans="1:8">
      <c r="A26" s="25"/>
      <c r="B26" s="1057"/>
      <c r="C26" s="1060"/>
      <c r="D26" s="7" t="s">
        <v>935</v>
      </c>
      <c r="E26" s="9" t="s">
        <v>329</v>
      </c>
      <c r="F26" s="244" t="s">
        <v>214</v>
      </c>
      <c r="G26" s="25"/>
      <c r="H26" s="25"/>
    </row>
    <row r="27" spans="1:8">
      <c r="A27" s="25"/>
      <c r="B27" s="1058"/>
      <c r="C27" s="1061"/>
      <c r="D27" s="228" t="s">
        <v>936</v>
      </c>
      <c r="E27" s="241" t="s">
        <v>937</v>
      </c>
      <c r="F27" s="245" t="s">
        <v>214</v>
      </c>
      <c r="G27" s="25"/>
      <c r="H27" s="25"/>
    </row>
    <row r="28" spans="1:8">
      <c r="A28" s="25"/>
      <c r="B28" s="1056" t="s">
        <v>938</v>
      </c>
      <c r="C28" s="1059" t="s">
        <v>939</v>
      </c>
      <c r="D28" s="256" t="s">
        <v>940</v>
      </c>
      <c r="E28" s="238" t="s">
        <v>941</v>
      </c>
      <c r="F28" s="239" t="s">
        <v>212</v>
      </c>
      <c r="G28" s="25"/>
      <c r="H28" s="25"/>
    </row>
    <row r="29" spans="1:8">
      <c r="A29" s="25"/>
      <c r="B29" s="1057"/>
      <c r="C29" s="1060"/>
      <c r="D29" s="7" t="s">
        <v>942</v>
      </c>
      <c r="E29" s="9" t="s">
        <v>943</v>
      </c>
      <c r="F29" s="244" t="s">
        <v>214</v>
      </c>
      <c r="G29" s="25"/>
      <c r="H29" s="25"/>
    </row>
    <row r="30" spans="1:8">
      <c r="A30" s="25"/>
      <c r="B30" s="1057"/>
      <c r="C30" s="1060"/>
      <c r="D30" s="7" t="s">
        <v>944</v>
      </c>
      <c r="E30" s="9" t="s">
        <v>945</v>
      </c>
      <c r="F30" s="244" t="s">
        <v>214</v>
      </c>
      <c r="G30" s="25"/>
      <c r="H30" s="25"/>
    </row>
    <row r="31" spans="1:8">
      <c r="A31" s="25"/>
      <c r="B31" s="1057"/>
      <c r="C31" s="1060" t="s">
        <v>946</v>
      </c>
      <c r="D31" s="7" t="s">
        <v>947</v>
      </c>
      <c r="E31" s="9" t="s">
        <v>948</v>
      </c>
      <c r="F31" s="240" t="s">
        <v>212</v>
      </c>
      <c r="G31" s="25"/>
      <c r="H31" s="25"/>
    </row>
    <row r="32" spans="1:8">
      <c r="A32" s="25"/>
      <c r="B32" s="1057"/>
      <c r="C32" s="1060"/>
      <c r="D32" s="7" t="s">
        <v>949</v>
      </c>
      <c r="E32" s="9" t="s">
        <v>950</v>
      </c>
      <c r="F32" s="244" t="s">
        <v>214</v>
      </c>
      <c r="G32" s="25"/>
      <c r="H32" s="25"/>
    </row>
    <row r="33" spans="1:8" ht="30">
      <c r="A33" s="25"/>
      <c r="B33" s="1057"/>
      <c r="C33" s="1060"/>
      <c r="D33" s="7" t="s">
        <v>951</v>
      </c>
      <c r="E33" s="9" t="s">
        <v>952</v>
      </c>
      <c r="F33" s="244" t="s">
        <v>214</v>
      </c>
      <c r="G33" s="25"/>
      <c r="H33" s="25"/>
    </row>
    <row r="34" spans="1:8">
      <c r="A34" s="25"/>
      <c r="B34" s="1057"/>
      <c r="C34" s="7" t="s">
        <v>953</v>
      </c>
      <c r="D34" s="7" t="s">
        <v>954</v>
      </c>
      <c r="E34" s="9" t="s">
        <v>955</v>
      </c>
      <c r="F34" s="246" t="s">
        <v>342</v>
      </c>
      <c r="G34" s="25"/>
      <c r="H34" s="25"/>
    </row>
    <row r="35" spans="1:8">
      <c r="A35" s="25"/>
      <c r="B35" s="1057"/>
      <c r="C35" s="1060" t="s">
        <v>956</v>
      </c>
      <c r="D35" s="7" t="s">
        <v>957</v>
      </c>
      <c r="E35" s="9" t="s">
        <v>958</v>
      </c>
      <c r="F35" s="240" t="s">
        <v>212</v>
      </c>
      <c r="G35" s="25"/>
      <c r="H35" s="25"/>
    </row>
    <row r="36" spans="1:8">
      <c r="A36" s="25"/>
      <c r="B36" s="1057"/>
      <c r="C36" s="1060"/>
      <c r="D36" s="7" t="s">
        <v>959</v>
      </c>
      <c r="E36" s="9" t="s">
        <v>960</v>
      </c>
      <c r="F36" s="240" t="s">
        <v>212</v>
      </c>
      <c r="G36" s="25"/>
      <c r="H36" s="25"/>
    </row>
    <row r="37" spans="1:8" ht="30">
      <c r="A37" s="25"/>
      <c r="B37" s="1057"/>
      <c r="C37" s="1060"/>
      <c r="D37" s="7" t="s">
        <v>961</v>
      </c>
      <c r="E37" s="9" t="s">
        <v>962</v>
      </c>
      <c r="F37" s="244" t="s">
        <v>214</v>
      </c>
      <c r="G37" s="25"/>
      <c r="H37" s="25"/>
    </row>
    <row r="38" spans="1:8">
      <c r="A38" s="25"/>
      <c r="B38" s="1058"/>
      <c r="C38" s="1061"/>
      <c r="D38" s="228" t="s">
        <v>963</v>
      </c>
      <c r="E38" s="241" t="s">
        <v>964</v>
      </c>
      <c r="F38" s="245" t="s">
        <v>214</v>
      </c>
      <c r="G38" s="25"/>
      <c r="H38" s="25"/>
    </row>
    <row r="39" spans="1:8">
      <c r="A39" s="25"/>
      <c r="B39" s="1062" t="s">
        <v>965</v>
      </c>
      <c r="C39" s="256" t="s">
        <v>966</v>
      </c>
      <c r="D39" s="256" t="s">
        <v>967</v>
      </c>
      <c r="E39" s="238" t="s">
        <v>377</v>
      </c>
      <c r="F39" s="239" t="s">
        <v>968</v>
      </c>
      <c r="G39" s="25"/>
      <c r="H39" s="25"/>
    </row>
    <row r="40" spans="1:8">
      <c r="A40" s="25"/>
      <c r="B40" s="1063"/>
      <c r="C40" s="7" t="s">
        <v>966</v>
      </c>
      <c r="D40" s="7" t="s">
        <v>969</v>
      </c>
      <c r="E40" s="9" t="s">
        <v>376</v>
      </c>
      <c r="F40" s="240" t="s">
        <v>968</v>
      </c>
      <c r="G40" s="25"/>
      <c r="H40" s="25"/>
    </row>
    <row r="41" spans="1:8" ht="30">
      <c r="A41" s="25"/>
      <c r="B41" s="1064"/>
      <c r="C41" s="228" t="s">
        <v>966</v>
      </c>
      <c r="D41" s="228" t="s">
        <v>970</v>
      </c>
      <c r="E41" s="241" t="s">
        <v>971</v>
      </c>
      <c r="F41" s="245" t="s">
        <v>214</v>
      </c>
      <c r="G41" s="25"/>
      <c r="H41" s="25"/>
    </row>
    <row r="42" spans="1:8">
      <c r="A42" s="25"/>
      <c r="B42" s="1056" t="s">
        <v>218</v>
      </c>
      <c r="C42" s="256" t="s">
        <v>966</v>
      </c>
      <c r="D42" s="256" t="s">
        <v>972</v>
      </c>
      <c r="E42" s="238" t="s">
        <v>374</v>
      </c>
      <c r="F42" s="239" t="s">
        <v>968</v>
      </c>
      <c r="G42" s="25"/>
      <c r="H42" s="25"/>
    </row>
    <row r="43" spans="1:8">
      <c r="A43" s="25"/>
      <c r="B43" s="1057"/>
      <c r="C43" s="7" t="s">
        <v>966</v>
      </c>
      <c r="D43" s="7" t="s">
        <v>973</v>
      </c>
      <c r="E43" s="9" t="s">
        <v>368</v>
      </c>
      <c r="F43" s="240" t="s">
        <v>968</v>
      </c>
      <c r="G43" s="25"/>
      <c r="H43" s="25"/>
    </row>
    <row r="44" spans="1:8">
      <c r="A44" s="25"/>
      <c r="B44" s="1057"/>
      <c r="C44" s="7" t="s">
        <v>966</v>
      </c>
      <c r="D44" s="7" t="s">
        <v>974</v>
      </c>
      <c r="E44" s="9" t="s">
        <v>372</v>
      </c>
      <c r="F44" s="240" t="s">
        <v>968</v>
      </c>
      <c r="G44" s="25"/>
      <c r="H44" s="25"/>
    </row>
    <row r="45" spans="1:8">
      <c r="A45" s="25"/>
      <c r="B45" s="1057"/>
      <c r="C45" s="7" t="s">
        <v>966</v>
      </c>
      <c r="D45" s="7" t="s">
        <v>975</v>
      </c>
      <c r="E45" s="9" t="s">
        <v>369</v>
      </c>
      <c r="F45" s="240" t="s">
        <v>212</v>
      </c>
      <c r="G45" s="25"/>
      <c r="H45" s="25"/>
    </row>
    <row r="46" spans="1:8">
      <c r="A46" s="25"/>
      <c r="B46" s="1057"/>
      <c r="C46" s="7" t="s">
        <v>966</v>
      </c>
      <c r="D46" s="7" t="s">
        <v>976</v>
      </c>
      <c r="E46" s="9" t="s">
        <v>371</v>
      </c>
      <c r="F46" s="240" t="s">
        <v>968</v>
      </c>
      <c r="G46" s="25"/>
      <c r="H46" s="25"/>
    </row>
    <row r="47" spans="1:8">
      <c r="A47" s="25"/>
      <c r="B47" s="1057"/>
      <c r="C47" s="7" t="s">
        <v>966</v>
      </c>
      <c r="D47" s="7" t="s">
        <v>977</v>
      </c>
      <c r="E47" s="9" t="s">
        <v>370</v>
      </c>
      <c r="F47" s="240" t="s">
        <v>212</v>
      </c>
      <c r="G47" s="25"/>
      <c r="H47" s="25"/>
    </row>
    <row r="48" spans="1:8">
      <c r="A48" s="25"/>
      <c r="B48" s="1057"/>
      <c r="C48" s="7" t="s">
        <v>966</v>
      </c>
      <c r="D48" s="7" t="s">
        <v>978</v>
      </c>
      <c r="E48" s="9" t="s">
        <v>373</v>
      </c>
      <c r="F48" s="240" t="s">
        <v>968</v>
      </c>
      <c r="G48" s="25"/>
      <c r="H48" s="25"/>
    </row>
    <row r="49" spans="1:8">
      <c r="A49" s="25"/>
      <c r="B49" s="1057"/>
      <c r="C49" s="7" t="s">
        <v>966</v>
      </c>
      <c r="D49" s="7" t="s">
        <v>979</v>
      </c>
      <c r="E49" s="9" t="s">
        <v>980</v>
      </c>
      <c r="F49" s="240" t="s">
        <v>212</v>
      </c>
      <c r="G49" s="25"/>
      <c r="H49" s="25"/>
    </row>
    <row r="50" spans="1:8">
      <c r="A50" s="25"/>
      <c r="B50" s="1057"/>
      <c r="C50" s="7" t="s">
        <v>966</v>
      </c>
      <c r="D50" s="7" t="s">
        <v>981</v>
      </c>
      <c r="E50" s="9" t="s">
        <v>982</v>
      </c>
      <c r="F50" s="244" t="s">
        <v>214</v>
      </c>
      <c r="G50" s="25"/>
      <c r="H50" s="25"/>
    </row>
    <row r="51" spans="1:8">
      <c r="A51" s="25"/>
      <c r="B51" s="1058"/>
      <c r="C51" s="228" t="s">
        <v>966</v>
      </c>
      <c r="D51" s="228" t="s">
        <v>983</v>
      </c>
      <c r="E51" s="241" t="s">
        <v>375</v>
      </c>
      <c r="F51" s="245" t="s">
        <v>214</v>
      </c>
      <c r="G51" s="25"/>
      <c r="H51" s="25"/>
    </row>
    <row r="52" spans="1:8">
      <c r="A52" s="25"/>
      <c r="B52" s="1056" t="s">
        <v>219</v>
      </c>
      <c r="C52" s="256" t="s">
        <v>336</v>
      </c>
      <c r="D52" s="256" t="s">
        <v>984</v>
      </c>
      <c r="E52" s="238" t="s">
        <v>336</v>
      </c>
      <c r="F52" s="243" t="s">
        <v>214</v>
      </c>
      <c r="G52" s="25"/>
      <c r="H52" s="25"/>
    </row>
    <row r="53" spans="1:8">
      <c r="A53" s="25"/>
      <c r="B53" s="1058"/>
      <c r="C53" s="228" t="s">
        <v>985</v>
      </c>
      <c r="D53" s="228" t="s">
        <v>986</v>
      </c>
      <c r="E53" s="241" t="s">
        <v>987</v>
      </c>
      <c r="F53" s="245" t="s">
        <v>214</v>
      </c>
      <c r="G53" s="25"/>
      <c r="H53" s="25"/>
    </row>
    <row r="54" spans="1:8">
      <c r="A54" s="25"/>
      <c r="B54" s="1056" t="s">
        <v>988</v>
      </c>
      <c r="C54" s="256" t="s">
        <v>989</v>
      </c>
      <c r="D54" s="256" t="s">
        <v>990</v>
      </c>
      <c r="E54" s="238" t="s">
        <v>269</v>
      </c>
      <c r="F54" s="243" t="s">
        <v>214</v>
      </c>
      <c r="G54" s="25"/>
      <c r="H54" s="25"/>
    </row>
    <row r="55" spans="1:8">
      <c r="A55" s="25"/>
      <c r="B55" s="1057"/>
      <c r="C55" s="7" t="s">
        <v>271</v>
      </c>
      <c r="D55" s="7" t="s">
        <v>991</v>
      </c>
      <c r="E55" s="9" t="s">
        <v>271</v>
      </c>
      <c r="F55" s="240" t="s">
        <v>212</v>
      </c>
      <c r="G55" s="25"/>
      <c r="H55" s="25"/>
    </row>
    <row r="56" spans="1:8">
      <c r="A56" s="25"/>
      <c r="B56" s="1058"/>
      <c r="C56" s="228" t="s">
        <v>992</v>
      </c>
      <c r="D56" s="228" t="s">
        <v>993</v>
      </c>
      <c r="E56" s="241" t="s">
        <v>270</v>
      </c>
      <c r="F56" s="245" t="s">
        <v>214</v>
      </c>
      <c r="G56" s="25"/>
      <c r="H56" s="25"/>
    </row>
    <row r="57" spans="1:8">
      <c r="A57" s="25"/>
      <c r="B57" s="1056" t="s">
        <v>220</v>
      </c>
      <c r="C57" s="256" t="s">
        <v>994</v>
      </c>
      <c r="D57" s="256" t="s">
        <v>995</v>
      </c>
      <c r="E57" s="238" t="s">
        <v>337</v>
      </c>
      <c r="F57" s="239" t="s">
        <v>212</v>
      </c>
      <c r="G57" s="25"/>
      <c r="H57" s="25"/>
    </row>
    <row r="58" spans="1:8">
      <c r="A58" s="25"/>
      <c r="B58" s="1058"/>
      <c r="C58" s="228" t="s">
        <v>996</v>
      </c>
      <c r="D58" s="228" t="s">
        <v>997</v>
      </c>
      <c r="E58" s="241" t="s">
        <v>338</v>
      </c>
      <c r="F58" s="245" t="s">
        <v>214</v>
      </c>
      <c r="G58" s="25"/>
      <c r="H58" s="25"/>
    </row>
    <row r="59" spans="1:8">
      <c r="A59" s="25"/>
      <c r="B59" s="1056" t="s">
        <v>221</v>
      </c>
      <c r="C59" s="256" t="s">
        <v>340</v>
      </c>
      <c r="D59" s="256" t="s">
        <v>998</v>
      </c>
      <c r="E59" s="238" t="s">
        <v>340</v>
      </c>
      <c r="F59" s="239" t="s">
        <v>212</v>
      </c>
      <c r="G59" s="25"/>
      <c r="H59" s="25"/>
    </row>
    <row r="60" spans="1:8">
      <c r="A60" s="25"/>
      <c r="B60" s="1057"/>
      <c r="C60" s="7" t="s">
        <v>999</v>
      </c>
      <c r="D60" s="7" t="s">
        <v>1000</v>
      </c>
      <c r="E60" s="9" t="s">
        <v>1001</v>
      </c>
      <c r="F60" s="240" t="s">
        <v>212</v>
      </c>
      <c r="G60" s="25"/>
      <c r="H60" s="25"/>
    </row>
    <row r="61" spans="1:8">
      <c r="A61" s="25"/>
      <c r="B61" s="1057"/>
      <c r="C61" s="7" t="s">
        <v>1002</v>
      </c>
      <c r="D61" s="7" t="s">
        <v>1003</v>
      </c>
      <c r="E61" s="9" t="s">
        <v>1004</v>
      </c>
      <c r="F61" s="244" t="s">
        <v>214</v>
      </c>
      <c r="G61" s="25"/>
      <c r="H61" s="25"/>
    </row>
    <row r="62" spans="1:8">
      <c r="A62" s="25"/>
      <c r="B62" s="1057"/>
      <c r="C62" s="7" t="s">
        <v>344</v>
      </c>
      <c r="D62" s="7" t="s">
        <v>1005</v>
      </c>
      <c r="E62" s="9" t="s">
        <v>344</v>
      </c>
      <c r="F62" s="240" t="s">
        <v>212</v>
      </c>
      <c r="G62" s="25"/>
      <c r="H62" s="25"/>
    </row>
    <row r="63" spans="1:8">
      <c r="A63" s="25"/>
      <c r="B63" s="1057"/>
      <c r="C63" s="7" t="s">
        <v>1006</v>
      </c>
      <c r="D63" s="7" t="s">
        <v>1007</v>
      </c>
      <c r="E63" s="9" t="s">
        <v>347</v>
      </c>
      <c r="F63" s="244" t="s">
        <v>214</v>
      </c>
      <c r="G63" s="25"/>
      <c r="H63" s="25"/>
    </row>
    <row r="64" spans="1:8">
      <c r="A64" s="25"/>
      <c r="B64" s="1057"/>
      <c r="C64" s="1060" t="s">
        <v>1008</v>
      </c>
      <c r="D64" s="7" t="s">
        <v>1009</v>
      </c>
      <c r="E64" s="9" t="s">
        <v>360</v>
      </c>
      <c r="F64" s="240" t="s">
        <v>212</v>
      </c>
      <c r="G64" s="25"/>
      <c r="H64" s="25"/>
    </row>
    <row r="65" spans="1:8">
      <c r="A65" s="25"/>
      <c r="B65" s="1057"/>
      <c r="C65" s="1060"/>
      <c r="D65" s="7" t="s">
        <v>1010</v>
      </c>
      <c r="E65" s="9" t="s">
        <v>1011</v>
      </c>
      <c r="F65" s="246" t="s">
        <v>342</v>
      </c>
      <c r="G65" s="25"/>
      <c r="H65" s="25"/>
    </row>
    <row r="66" spans="1:8">
      <c r="A66" s="25"/>
      <c r="B66" s="1057"/>
      <c r="C66" s="7" t="s">
        <v>1012</v>
      </c>
      <c r="D66" s="7" t="s">
        <v>1013</v>
      </c>
      <c r="E66" s="9" t="s">
        <v>1014</v>
      </c>
      <c r="F66" s="244" t="s">
        <v>214</v>
      </c>
      <c r="G66" s="25"/>
      <c r="H66" s="25"/>
    </row>
    <row r="67" spans="1:8">
      <c r="A67" s="25"/>
      <c r="B67" s="1057"/>
      <c r="C67" s="7" t="s">
        <v>1015</v>
      </c>
      <c r="D67" s="7" t="s">
        <v>1016</v>
      </c>
      <c r="E67" s="9" t="s">
        <v>349</v>
      </c>
      <c r="F67" s="240" t="s">
        <v>212</v>
      </c>
      <c r="G67" s="25"/>
      <c r="H67" s="25"/>
    </row>
    <row r="68" spans="1:8">
      <c r="A68" s="25"/>
      <c r="B68" s="1057"/>
      <c r="C68" s="1060" t="s">
        <v>1017</v>
      </c>
      <c r="D68" s="7" t="s">
        <v>1018</v>
      </c>
      <c r="E68" s="9" t="s">
        <v>350</v>
      </c>
      <c r="F68" s="240" t="s">
        <v>212</v>
      </c>
      <c r="G68" s="25"/>
      <c r="H68" s="25"/>
    </row>
    <row r="69" spans="1:8">
      <c r="A69" s="25"/>
      <c r="B69" s="1057"/>
      <c r="C69" s="1060"/>
      <c r="D69" s="7" t="s">
        <v>1019</v>
      </c>
      <c r="E69" s="9" t="s">
        <v>351</v>
      </c>
      <c r="F69" s="240" t="s">
        <v>212</v>
      </c>
      <c r="G69" s="25"/>
      <c r="H69" s="25"/>
    </row>
    <row r="70" spans="1:8">
      <c r="A70" s="25"/>
      <c r="B70" s="1057"/>
      <c r="C70" s="7" t="s">
        <v>1020</v>
      </c>
      <c r="D70" s="7" t="s">
        <v>1021</v>
      </c>
      <c r="E70" s="9" t="s">
        <v>348</v>
      </c>
      <c r="F70" s="246" t="s">
        <v>342</v>
      </c>
      <c r="G70" s="25"/>
      <c r="H70" s="25"/>
    </row>
    <row r="71" spans="1:8">
      <c r="A71" s="25"/>
      <c r="B71" s="1057"/>
      <c r="C71" s="7" t="s">
        <v>1022</v>
      </c>
      <c r="D71" s="7" t="s">
        <v>1023</v>
      </c>
      <c r="E71" s="9" t="s">
        <v>333</v>
      </c>
      <c r="F71" s="240" t="s">
        <v>212</v>
      </c>
      <c r="G71" s="25"/>
      <c r="H71" s="25"/>
    </row>
    <row r="72" spans="1:8">
      <c r="A72" s="25"/>
      <c r="B72" s="1057"/>
      <c r="C72" s="7" t="s">
        <v>1024</v>
      </c>
      <c r="D72" s="7" t="s">
        <v>1025</v>
      </c>
      <c r="E72" s="9" t="s">
        <v>354</v>
      </c>
      <c r="F72" s="240" t="s">
        <v>212</v>
      </c>
      <c r="G72" s="25"/>
      <c r="H72" s="25"/>
    </row>
    <row r="73" spans="1:8">
      <c r="A73" s="25"/>
      <c r="B73" s="1057"/>
      <c r="C73" s="7" t="s">
        <v>1026</v>
      </c>
      <c r="D73" s="7" t="s">
        <v>1027</v>
      </c>
      <c r="E73" s="9" t="s">
        <v>341</v>
      </c>
      <c r="F73" s="246" t="s">
        <v>342</v>
      </c>
      <c r="G73" s="25"/>
      <c r="H73" s="25"/>
    </row>
    <row r="74" spans="1:8">
      <c r="A74" s="25"/>
      <c r="B74" s="1057"/>
      <c r="C74" s="7" t="s">
        <v>1028</v>
      </c>
      <c r="D74" s="7" t="s">
        <v>1029</v>
      </c>
      <c r="E74" s="9" t="s">
        <v>352</v>
      </c>
      <c r="F74" s="240" t="s">
        <v>212</v>
      </c>
      <c r="G74" s="25"/>
      <c r="H74" s="25"/>
    </row>
    <row r="75" spans="1:8">
      <c r="A75" s="25"/>
      <c r="B75" s="1057"/>
      <c r="C75" s="7" t="s">
        <v>1030</v>
      </c>
      <c r="D75" s="7" t="s">
        <v>1031</v>
      </c>
      <c r="E75" s="9" t="s">
        <v>1032</v>
      </c>
      <c r="F75" s="240" t="s">
        <v>212</v>
      </c>
      <c r="G75" s="25"/>
      <c r="H75" s="25"/>
    </row>
    <row r="76" spans="1:8">
      <c r="A76" s="25"/>
      <c r="B76" s="1057"/>
      <c r="C76" s="7" t="s">
        <v>1033</v>
      </c>
      <c r="D76" s="7" t="s">
        <v>1034</v>
      </c>
      <c r="E76" s="9" t="s">
        <v>1035</v>
      </c>
      <c r="F76" s="240" t="s">
        <v>212</v>
      </c>
      <c r="G76" s="25"/>
      <c r="H76" s="25"/>
    </row>
    <row r="77" spans="1:8">
      <c r="A77" s="25"/>
      <c r="B77" s="1057"/>
      <c r="C77" s="1060" t="s">
        <v>1036</v>
      </c>
      <c r="D77" s="7" t="s">
        <v>1037</v>
      </c>
      <c r="E77" s="9" t="s">
        <v>355</v>
      </c>
      <c r="F77" s="240" t="s">
        <v>212</v>
      </c>
      <c r="G77" s="25"/>
      <c r="H77" s="25"/>
    </row>
    <row r="78" spans="1:8">
      <c r="A78" s="25"/>
      <c r="B78" s="1057"/>
      <c r="C78" s="1060"/>
      <c r="D78" s="7" t="s">
        <v>1038</v>
      </c>
      <c r="E78" s="9" t="s">
        <v>1039</v>
      </c>
      <c r="F78" s="240" t="s">
        <v>212</v>
      </c>
      <c r="G78" s="25"/>
      <c r="H78" s="25"/>
    </row>
    <row r="79" spans="1:8">
      <c r="A79" s="25"/>
      <c r="B79" s="1058"/>
      <c r="C79" s="228" t="s">
        <v>1040</v>
      </c>
      <c r="D79" s="228" t="s">
        <v>1041</v>
      </c>
      <c r="E79" s="241" t="s">
        <v>346</v>
      </c>
      <c r="F79" s="250" t="s">
        <v>342</v>
      </c>
      <c r="G79" s="25"/>
      <c r="H79" s="25"/>
    </row>
    <row r="80" spans="1:8">
      <c r="A80" s="25"/>
      <c r="B80" s="1056" t="s">
        <v>222</v>
      </c>
      <c r="C80" s="1059" t="s">
        <v>1042</v>
      </c>
      <c r="D80" s="256" t="s">
        <v>1043</v>
      </c>
      <c r="E80" s="238" t="s">
        <v>362</v>
      </c>
      <c r="F80" s="239" t="s">
        <v>212</v>
      </c>
      <c r="G80" s="25"/>
      <c r="H80" s="25"/>
    </row>
    <row r="81" spans="1:8">
      <c r="A81" s="25"/>
      <c r="B81" s="1057"/>
      <c r="C81" s="1060"/>
      <c r="D81" s="7" t="s">
        <v>1044</v>
      </c>
      <c r="E81" s="9" t="s">
        <v>1045</v>
      </c>
      <c r="F81" s="244" t="s">
        <v>214</v>
      </c>
      <c r="G81" s="25"/>
      <c r="H81" s="25"/>
    </row>
    <row r="82" spans="1:8">
      <c r="A82" s="25"/>
      <c r="B82" s="1057"/>
      <c r="C82" s="7" t="s">
        <v>1046</v>
      </c>
      <c r="D82" s="7" t="s">
        <v>1047</v>
      </c>
      <c r="E82" s="9" t="s">
        <v>364</v>
      </c>
      <c r="F82" s="244" t="s">
        <v>214</v>
      </c>
      <c r="G82" s="25"/>
      <c r="H82" s="25"/>
    </row>
    <row r="83" spans="1:8">
      <c r="A83" s="25"/>
      <c r="B83" s="1058"/>
      <c r="C83" s="228" t="s">
        <v>1048</v>
      </c>
      <c r="D83" s="228" t="s">
        <v>1049</v>
      </c>
      <c r="E83" s="241" t="s">
        <v>365</v>
      </c>
      <c r="F83" s="245" t="s">
        <v>214</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Sutton, Catherine</cp:lastModifiedBy>
  <dcterms:created xsi:type="dcterms:W3CDTF">2026-04-14T12:33:14Z</dcterms:created>
  <dcterms:modified xsi:type="dcterms:W3CDTF">2026-04-14T12:33:14Z</dcterms:modified>
</cp:coreProperties>
</file>