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updateLinks="never" codeName="ThisWorkbook" hidePivotFieldList="1"/>
  <mc:AlternateContent xmlns:mc="http://schemas.openxmlformats.org/markup-compatibility/2006">
    <mc:Choice Requires="x15">
      <x15ac:absPath xmlns:x15ac="http://schemas.microsoft.com/office/spreadsheetml/2010/11/ac" url="https://estradaecology-my.sharepoint.com/personal/natashaestrada_estradaecology_co_uk/Documents/EEL Main Folder/Reports/Reports April 2023/"/>
    </mc:Choice>
  </mc:AlternateContent>
  <xr:revisionPtr revIDLastSave="112" documentId="8_{443B8096-3F94-4615-99BD-D5D3D8CD4A56}" xr6:coauthVersionLast="47" xr6:coauthVersionMax="47" xr10:uidLastSave="{8AA9D63A-50C3-41CC-87DB-467BCF623D3C}"/>
  <bookViews>
    <workbookView xWindow="-120" yWindow="-120" windowWidth="29040" windowHeight="15840" tabRatio="741" activeTab="9"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L150" i="2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J146" i="22" l="1"/>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U9" i="78" l="1"/>
  <c r="X31" i="57"/>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X65" i="57" l="1"/>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AF65" i="57" l="1"/>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6" i="22"/>
  <c r="I70" i="22"/>
  <c r="I72" i="22"/>
  <c r="I75" i="22"/>
  <c r="I90" i="22"/>
  <c r="I29" i="22"/>
  <c r="I41" i="22"/>
  <c r="I77" i="22"/>
  <c r="I88" i="22"/>
  <c r="I95" i="22"/>
  <c r="I59" i="22"/>
  <c r="AL18" i="59" a="1"/>
  <c r="AL18" i="59" s="1"/>
  <c r="E19" i="50" s="1"/>
  <c r="AC17" i="11"/>
  <c r="Q17" i="11" s="1"/>
  <c r="F47" i="22" s="1"/>
  <c r="AC14" i="11"/>
  <c r="Q14" i="11" s="1"/>
  <c r="F70" i="22"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K48" i="36" s="1"/>
  <c r="I39" i="22"/>
  <c r="I53" i="22"/>
  <c r="I46" i="22"/>
  <c r="AL19" i="59" a="1"/>
  <c r="AL19" i="59" s="1"/>
  <c r="E20" i="50" s="1"/>
  <c r="I89" i="22"/>
  <c r="I49" i="22"/>
  <c r="I33" i="22"/>
  <c r="I24" i="22"/>
  <c r="I92" i="22"/>
  <c r="I71" i="22"/>
  <c r="I40" i="22"/>
  <c r="AC15" i="11"/>
  <c r="AC13" i="11"/>
  <c r="Q13" i="11" s="1"/>
  <c r="X13" i="11" s="1"/>
  <c r="AC12" i="11"/>
  <c r="Q12" i="11" s="1"/>
  <c r="F29" i="22" s="1"/>
  <c r="I54" i="22" l="1"/>
  <c r="I62"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D24" i="36" l="1"/>
  <c r="F54" i="22"/>
  <c r="F62" i="22"/>
  <c r="F28" i="22"/>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<sst xmlns="http://schemas.openxmlformats.org/spreadsheetml/2006/main" count="6918" uniqueCount="1561">
  <si>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</si>
  <si>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</si>
  <si>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</si>
  <si>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</si>
  <si>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</si>
  <si>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</si>
  <si>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</si>
  <si>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</si>
  <si>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</si>
  <si>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</si>
  <si>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</si>
  <si>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</si>
  <si>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</si>
  <si>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</si>
  <si>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</si>
  <si>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</si>
  <si>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</si>
  <si>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</si>
  <si>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</si>
  <si>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</si>
  <si>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</si>
  <si>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</si>
  <si>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</si>
  <si>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</si>
  <si>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</si>
  <si>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</si>
  <si>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</si>
  <si>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</si>
  <si>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</si>
  <si>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</si>
  <si>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</si>
  <si>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</si>
  <si>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</si>
  <si>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</si>
  <si>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</si>
  <si>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</si>
  <si>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</si>
  <si>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</si>
  <si>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</si>
  <si>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</si>
  <si>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</si>
  <si>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</si>
  <si>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</si>
  <si>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</si>
  <si>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</si>
  <si>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</si>
  <si>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</si>
  <si>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</si>
  <si>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</si>
  <si>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</si>
  <si>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</si>
  <si>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</si>
  <si>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</si>
  <si>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</si>
  <si>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</si>
  <si>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</si>
  <si>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</si>
  <si>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</si>
  <si>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</si>
  <si>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</si>
  <si>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</si>
  <si>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</si>
  <si>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</si>
  <si>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</si>
  <si>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</si>
  <si>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</si>
  <si>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</si>
  <si>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</si>
  <si>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</si>
  <si>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</si>
  <si>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</si>
  <si>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</si>
  <si>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</si>
  <si>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</si>
  <si>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</si>
  <si>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</si>
  <si>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</si>
  <si>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</si>
  <si>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</si>
  <si>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</si>
  <si>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</si>
  <si>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</si>
  <si>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</si>
  <si>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</si>
  <si>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</si>
  <si>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</si>
  <si>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</si>
  <si>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</si>
  <si>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</si>
  <si>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</si>
  <si>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</si>
  <si>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</si>
  <si>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</si>
  <si>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</si>
  <si>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</si>
  <si>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</si>
  <si>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</si>
  <si>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</si>
  <si>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</si>
  <si>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</si>
  <si>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</si>
  <si>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</si>
  <si>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</si>
  <si>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</si>
  <si>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</si>
  <si>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</si>
  <si>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</si>
  <si>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</si>
  <si>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</si>
  <si>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</si>
  <si>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</si>
  <si>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</si>
  <si>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</si>
  <si>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</si>
  <si>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</si>
  <si>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</si>
  <si>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</si>
  <si>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</si>
  <si>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</si>
  <si>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</si>
  <si>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</si>
  <si>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</si>
  <si>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</si>
  <si>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</si>
  <si>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</si>
  <si>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</si>
  <si>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</si>
  <si>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</si>
  <si>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</si>
  <si>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</si>
  <si>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</si>
  <si>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</si>
  <si>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</si>
  <si>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</si>
  <si>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</si>
  <si>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</si>
  <si>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</si>
  <si>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</si>
  <si>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</si>
  <si>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</si>
  <si>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</si>
  <si>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</si>
  <si>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</si>
  <si>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</si>
  <si>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</si>
  <si>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</si>
  <si>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</si>
  <si>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</si>
  <si>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</si>
  <si>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</si>
  <si>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</si>
  <si>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</si>
  <si>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</si>
  <si>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</si>
  <si>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</si>
  <si>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</si>
  <si>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</si>
  <si>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</si>
  <si>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</si>
  <si>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</si>
  <si>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</si>
  <si>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</si>
  <si>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</si>
  <si>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</si>
  <si>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</si>
  <si>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</si>
  <si>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</si>
  <si>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</si>
  <si>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</si>
  <si>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</si>
  <si>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</si>
  <si>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</si>
  <si>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</si>
  <si>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</si>
  <si>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</si>
  <si>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</si>
  <si>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</si>
  <si>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</si>
  <si>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</si>
  <si>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</si>
  <si>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</si>
  <si>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</si>
  <si>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</si>
  <si>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</si>
  <si>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</si>
  <si>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</si>
  <si>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</si>
  <si>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</si>
  <si>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</si>
  <si>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</si>
  <si>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</si>
  <si>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</si>
  <si>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</si>
  <si>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</si>
  <si>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</si>
  <si>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</si>
  <si>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</si>
  <si>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</si>
  <si>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</si>
  <si>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</si>
  <si>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</si>
  <si>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</si>
  <si>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</si>
  <si>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</si>
  <si>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</si>
  <si>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</si>
  <si>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</si>
  <si>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</si>
  <si>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</si>
  <si>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</si>
  <si>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</si>
  <si>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</si>
  <si>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</si>
  <si>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</si>
  <si>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</si>
  <si>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</si>
  <si>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</si>
  <si>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</si>
  <si>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</si>
  <si>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</si>
  <si>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</si>
  <si>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</si>
  <si>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</si>
  <si>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</si>
  <si>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</si>
  <si>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</si>
  <si>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</si>
  <si>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</si>
  <si>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</si>
  <si>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</si>
  <si>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</si>
  <si>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</si>
  <si>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</si>
  <si>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</si>
  <si>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</si>
  <si>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</si>
  <si>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</si>
  <si>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</si>
  <si>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</si>
  <si>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</si>
  <si>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</si>
  <si>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</si>
  <si>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</si>
  <si>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</si>
  <si>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</si>
  <si>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</si>
  <si>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</si>
  <si>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</si>
  <si>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</si>
  <si>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</si>
  <si>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</si>
  <si>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</si>
  <si>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</si>
  <si>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</si>
  <si>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</si>
  <si>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</si>
  <si>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</si>
  <si>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</si>
  <si>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</si>
  <si>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</si>
  <si>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</si>
  <si>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</si>
  <si>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</si>
  <si>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</si>
  <si>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</si>
  <si>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</si>
  <si>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</si>
  <si>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</si>
  <si>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</si>
  <si>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</si>
  <si>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</si>
  <si>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</si>
  <si>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</si>
  <si>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</si>
  <si>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</si>
  <si>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</si>
  <si>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</si>
  <si>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</si>
  <si>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</si>
  <si>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</si>
  <si>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</si>
  <si>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</si>
  <si>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</si>
  <si>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</si>
  <si>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</si>
  <si>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</si>
  <si>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</si>
  <si>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</si>
  <si>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</si>
  <si>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</si>
  <si>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</si>
  <si>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</si>
  <si>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</si>
  <si>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</si>
  <si>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</si>
  <si>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</si>
  <si>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</si>
  <si>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</si>
  <si>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</si>
  <si>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</si>
  <si>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</si>
  <si>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</si>
  <si>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</si>
  <si>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</si>
  <si>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</si>
  <si>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</si>
  <si>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</si>
  <si>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</si>
  <si>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</si>
  <si>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</si>
  <si>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</si>
  <si>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</si>
  <si>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</si>
  <si>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</si>
  <si>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</si>
  <si>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</si>
  <si>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</si>
  <si>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</si>
  <si>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</si>
  <si>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</si>
  <si>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</si>
  <si>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</si>
  <si>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</si>
  <si>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</si>
  <si>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</si>
  <si>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</si>
  <si>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</si>
  <si>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</si>
  <si>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</si>
  <si>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</si>
  <si>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</si>
  <si>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</si>
  <si>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</si>
  <si>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</si>
  <si>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</si>
  <si>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</si>
  <si>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</si>
  <si>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</si>
  <si>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</si>
  <si>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</si>
  <si>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</si>
  <si>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</si>
  <si>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</si>
  <si>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</si>
  <si>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</si>
  <si>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</si>
  <si>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</si>
  <si>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</si>
  <si>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</si>
  <si>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</si>
  <si>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</si>
  <si>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</si>
  <si>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</si>
  <si>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</si>
  <si>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</si>
  <si>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</si>
  <si>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</si>
  <si>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</si>
  <si>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</si>
  <si>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</si>
  <si>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</si>
  <si>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</si>
  <si>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</si>
  <si>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</si>
  <si>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</si>
  <si>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</si>
  <si>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</si>
  <si>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</si>
  <si>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</si>
  <si>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</si>
  <si>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</si>
  <si>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</si>
  <si>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</si>
  <si>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</si>
  <si>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</si>
  <si>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</si>
  <si>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</si>
  <si>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</si>
  <si>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</si>
  <si>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</si>
  <si>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</si>
  <si>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</si>
  <si>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</si>
  <si>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</si>
  <si>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</si>
  <si>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</si>
  <si>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</si>
  <si>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</si>
  <si>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</si>
  <si>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</si>
  <si>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</si>
  <si>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</si>
  <si>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</si>
  <si>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</si>
  <si>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</si>
  <si>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</si>
  <si>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</si>
  <si>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</si>
  <si>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</si>
  <si>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</si>
  <si>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</si>
  <si>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</si>
  <si>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</si>
  <si>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</si>
  <si>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</si>
  <si>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</si>
  <si>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</si>
  <si>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</si>
  <si>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</si>
  <si>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</si>
  <si>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</si>
  <si>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</si>
  <si>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</si>
  <si>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</si>
  <si>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</si>
  <si>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</si>
  <si>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</si>
  <si>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</si>
  <si>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</si>
  <si>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</si>
  <si>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</si>
  <si>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</si>
  <si>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</si>
  <si>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</si>
  <si>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</si>
  <si>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</si>
  <si>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</si>
  <si>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</si>
  <si>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</si>
  <si>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</si>
  <si>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</si>
  <si>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</si>
  <si>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</si>
  <si>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</si>
  <si>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</si>
  <si>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</si>
  <si>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</si>
  <si>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</si>
  <si>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</si>
  <si>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</si>
  <si>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</si>
  <si>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</si>
  <si>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</si>
  <si>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</si>
  <si>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</si>
  <si>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</si>
  <si>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</si>
  <si>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</si>
  <si>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</si>
  <si>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</si>
  <si>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</si>
  <si>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</si>
  <si>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</si>
  <si>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</si>
  <si>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</si>
  <si>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</si>
  <si>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</si>
  <si>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</si>
  <si>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</si>
  <si>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</si>
  <si>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</si>
  <si>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</si>
  <si>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</si>
  <si>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</si>
  <si>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</si>
  <si>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</si>
  <si>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</si>
  <si>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</si>
  <si>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</si>
  <si>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</si>
  <si>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</si>
  <si>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</si>
  <si>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</si>
  <si>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</si>
  <si>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</si>
  <si>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</si>
  <si>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</si>
  <si>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</si>
  <si>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</si>
  <si>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</si>
  <si>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</si>
  <si>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</si>
  <si>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</si>
  <si>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</si>
  <si>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</si>
  <si>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</si>
  <si>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</si>
  <si>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</si>
  <si>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</si>
  <si>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</si>
  <si>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</si>
  <si>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</si>
  <si>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</si>
  <si>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</si>
  <si>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</si>
  <si>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</si>
  <si>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</si>
  <si>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</si>
  <si>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</si>
  <si>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</si>
  <si>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</si>
  <si>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</si>
  <si>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</si>
  <si>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</si>
  <si>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</si>
  <si>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</si>
  <si>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</si>
  <si>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</si>
  <si>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</si>
  <si>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</si>
  <si>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</si>
  <si>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</si>
  <si>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</si>
  <si>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</si>
  <si>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</si>
  <si>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</si>
  <si>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</si>
  <si>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</si>
  <si>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</si>
  <si>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</si>
  <si>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</si>
  <si>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</si>
  <si>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</si>
  <si>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</si>
  <si>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</si>
  <si>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</si>
  <si>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</si>
  <si>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</si>
  <si>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</si>
  <si>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</si>
  <si>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</si>
  <si>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</si>
  <si>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</si>
  <si>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</si>
  <si>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</si>
  <si>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</si>
  <si>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</si>
  <si>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</si>
  <si>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</si>
  <si>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</si>
  <si>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</si>
  <si>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</si>
  <si>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</si>
  <si>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</si>
  <si>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</si>
  <si>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</si>
  <si>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</si>
  <si>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</si>
  <si>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</si>
  <si>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</si>
  <si>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</si>
  <si>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</si>
  <si>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</si>
  <si>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</si>
  <si>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</si>
  <si>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</si>
  <si>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</si>
  <si>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</si>
  <si>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</si>
  <si>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</si>
  <si>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</si>
  <si>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</si>
  <si>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</si>
  <si>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</si>
  <si>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</si>
  <si>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</si>
  <si>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</si>
  <si>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</si>
  <si>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</si>
  <si>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</si>
  <si>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</si>
  <si>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</si>
  <si>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</si>
  <si>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</si>
  <si>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</si>
  <si>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</si>
  <si>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</si>
  <si>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</si>
  <si>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</si>
  <si>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</si>
  <si>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</si>
  <si>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</si>
  <si>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</si>
  <si>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</si>
  <si>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</si>
  <si>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</si>
  <si>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</si>
  <si>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</si>
  <si>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</si>
  <si>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</si>
  <si>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</si>
  <si>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</si>
  <si>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</si>
  <si>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</si>
  <si>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</si>
  <si>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</si>
  <si>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</si>
  <si>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</si>
  <si>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</si>
  <si>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</si>
  <si>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</si>
  <si>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</si>
  <si>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</si>
  <si>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</si>
  <si>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</si>
  <si>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</si>
  <si>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</si>
  <si>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</si>
  <si>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</si>
  <si>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</si>
  <si>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</si>
  <si>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</si>
  <si>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</si>
  <si>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</si>
  <si>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</si>
  <si>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</si>
  <si>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</si>
  <si>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</si>
  <si>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</si>
  <si>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</si>
  <si>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</si>
  <si>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</si>
  <si>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</si>
  <si>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</si>
  <si>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</si>
  <si>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</si>
  <si>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</si>
  <si>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</si>
  <si>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</si>
  <si>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</si>
  <si>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</si>
  <si>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</si>
  <si>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</si>
  <si>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</si>
  <si>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</si>
  <si>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</si>
  <si>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</si>
  <si>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</si>
  <si>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</si>
  <si>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</si>
  <si>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</si>
  <si>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</si>
  <si>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</si>
  <si>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</si>
  <si>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</si>
  <si>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</si>
  <si>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</si>
  <si>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</si>
  <si>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</si>
  <si>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</si>
  <si>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</si>
  <si>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</si>
  <si>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</si>
  <si>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</si>
  <si>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</si>
  <si>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</si>
  <si>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</si>
  <si>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</si>
  <si>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</si>
  <si>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</si>
  <si>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</si>
  <si>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</si>
  <si>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</si>
  <si>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</si>
  <si>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</si>
  <si>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</si>
  <si>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</si>
  <si>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</si>
  <si>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</si>
  <si>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</si>
  <si>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</si>
  <si>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</si>
  <si>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</si>
  <si>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</si>
  <si>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</si>
  <si>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</si>
  <si>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</si>
  <si>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</si>
  <si>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</si>
  <si>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</si>
  <si>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</si>
  <si>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</si>
  <si>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</si>
  <si>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</si>
  <si>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</si>
  <si>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</si>
  <si>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</si>
  <si>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</si>
  <si>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</si>
  <si>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</si>
  <si>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</si>
  <si>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</si>
  <si>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</si>
  <si>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</si>
  <si>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</si>
  <si>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</si>
  <si>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</si>
  <si>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</si>
  <si>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</si>
  <si>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</si>
  <si>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</si>
  <si>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</si>
  <si>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</si>
  <si>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</si>
  <si>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</si>
  <si>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</si>
  <si>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</si>
  <si>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</si>
  <si>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</si>
  <si>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</si>
  <si>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</si>
  <si>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</si>
  <si>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</si>
  <si>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</si>
  <si>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</si>
  <si>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</si>
  <si>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</si>
  <si>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</si>
  <si>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</si>
  <si>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</si>
  <si>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</si>
  <si>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</si>
  <si>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</si>
  <si>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</si>
  <si>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</si>
  <si>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</si>
  <si>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</si>
  <si>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</si>
  <si>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</si>
  <si>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</si>
  <si>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</si>
  <si>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</si>
  <si>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</si>
  <si>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</si>
  <si>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</si>
  <si>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</si>
  <si>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</si>
  <si>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</si>
  <si>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</si>
  <si>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</si>
  <si>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</si>
  <si>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</si>
  <si>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</si>
  <si>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</si>
  <si>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</si>
  <si>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</si>
  <si>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</si>
  <si>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</si>
  <si>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</si>
  <si>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</si>
  <si>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</si>
  <si>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</si>
  <si>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</si>
  <si>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</si>
  <si>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</si>
  <si>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</si>
  <si>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</si>
  <si>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</si>
  <si>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</si>
  <si>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</si>
  <si>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</si>
  <si>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</si>
  <si>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</si>
  <si>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</si>
  <si>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</si>
  <si>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</si>
  <si>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</si>
  <si>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</si>
  <si>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</si>
  <si>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</si>
  <si>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</si>
  <si>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</si>
  <si>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</si>
  <si>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</si>
  <si>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</si>
  <si>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</si>
  <si>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</si>
  <si>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</si>
  <si>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</si>
  <si>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</si>
  <si>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</si>
  <si>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</si>
  <si>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</si>
  <si>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</si>
  <si>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</si>
  <si>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</si>
  <si>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</si>
  <si>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</si>
  <si>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</si>
  <si>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</si>
  <si>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</si>
  <si>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</si>
  <si>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</si>
  <si>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</si>
  <si>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</si>
  <si>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</si>
  <si>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</si>
  <si>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</si>
  <si>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</si>
  <si>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</si>
  <si>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</si>
  <si>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</si>
  <si>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</si>
  <si>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</si>
  <si>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</si>
  <si>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</si>
  <si>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</si>
  <si>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</si>
  <si>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</si>
  <si>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</si>
  <si>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</si>
  <si>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</si>
  <si>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</si>
  <si>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</si>
  <si>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</si>
  <si>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</si>
  <si>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</si>
  <si>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</si>
  <si>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</si>
  <si>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</si>
  <si>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</si>
  <si>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</si>
  <si>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</si>
  <si>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</si>
  <si>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</si>
  <si>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</si>
  <si>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</si>
  <si>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</si>
  <si>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</si>
  <si>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</si>
  <si>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</si>
  <si>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</si>
  <si>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</si>
  <si>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</si>
  <si>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</si>
  <si>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</si>
  <si>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</si>
  <si>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</si>
  <si>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</si>
  <si>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</si>
  <si>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</si>
  <si>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</si>
  <si>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</si>
  <si>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</si>
  <si>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</si>
  <si>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</si>
  <si>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</si>
  <si>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</si>
  <si>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</si>
  <si>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</si>
  <si>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</si>
  <si>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</si>
  <si>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</si>
  <si>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</si>
  <si>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</si>
  <si>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</si>
  <si>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</si>
  <si>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</si>
  <si>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</si>
  <si>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</si>
  <si>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</si>
  <si>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</si>
  <si>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</si>
  <si>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</si>
  <si>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</si>
  <si>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</si>
  <si>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</si>
  <si>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</si>
  <si>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</si>
  <si>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</si>
  <si>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</si>
  <si>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</si>
  <si>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</si>
  <si>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</si>
  <si>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</si>
  <si>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</si>
  <si>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</si>
  <si>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</si>
  <si>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</si>
  <si>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</si>
  <si>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</si>
  <si>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</si>
  <si>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</si>
  <si>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</si>
  <si>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</si>
  <si>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</si>
  <si>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</si>
  <si>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</si>
  <si>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</si>
  <si>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</si>
  <si>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</si>
  <si>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</si>
  <si>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</si>
  <si>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</si>
  <si>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</si>
  <si>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</si>
  <si>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</si>
  <si>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</si>
  <si>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</si>
  <si>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</si>
  <si>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</si>
  <si>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</si>
  <si>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</si>
  <si>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</si>
  <si>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</si>
  <si>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</si>
  <si>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</si>
  <si>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</si>
  <si>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</si>
  <si>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</si>
  <si>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</si>
  <si>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</si>
  <si>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</si>
  <si>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</si>
  <si>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</si>
  <si>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</si>
  <si>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</si>
  <si>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</si>
  <si>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</si>
  <si>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</si>
  <si>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</si>
  <si>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</si>
  <si>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</si>
  <si>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</si>
  <si>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</si>
  <si>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</si>
  <si>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</si>
  <si>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</si>
  <si>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</si>
  <si>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</si>
  <si>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</si>
  <si>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</si>
  <si>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</si>
  <si>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</si>
  <si>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</si>
  <si>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</si>
  <si>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</si>
  <si>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</si>
  <si>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</si>
  <si>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</si>
  <si>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</si>
  <si>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</si>
  <si>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</si>
  <si>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</si>
  <si>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</si>
  <si>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</si>
  <si>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</si>
  <si>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</si>
  <si>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</si>
  <si>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</si>
  <si>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</si>
  <si>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</si>
  <si>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</si>
  <si>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</si>
  <si>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</si>
  <si>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</si>
  <si>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</si>
  <si>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</si>
  <si>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</si>
  <si>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</si>
  <si>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</si>
  <si>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</si>
  <si>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</si>
  <si>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</si>
  <si>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</si>
  <si>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</si>
  <si>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</si>
  <si>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</si>
  <si>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</si>
  <si>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</si>
  <si>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</si>
  <si>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</si>
  <si>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</si>
  <si>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</si>
  <si>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</si>
  <si>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</si>
  <si>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</si>
  <si>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</si>
  <si>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</si>
  <si>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</si>
  <si>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</si>
  <si>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</si>
  <si>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</si>
  <si>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</si>
  <si>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</si>
  <si>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</si>
  <si>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</si>
  <si>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</si>
  <si>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</si>
  <si>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</si>
  <si>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</si>
  <si>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</si>
  <si>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</si>
  <si>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</si>
  <si>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</si>
  <si>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</si>
  <si>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</si>
  <si>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</si>
  <si>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</si>
  <si>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</si>
  <si>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</si>
  <si>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</si>
  <si>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</si>
  <si>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</si>
  <si>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</si>
  <si>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</si>
  <si>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</si>
  <si>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</si>
  <si>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</si>
  <si>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</si>
  <si>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</si>
  <si>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</si>
  <si>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</si>
  <si>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</si>
  <si>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</si>
  <si>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</si>
  <si>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</si>
  <si>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</si>
  <si>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</si>
  <si>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</si>
  <si>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</si>
  <si>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</si>
  <si>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</si>
  <si>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</si>
  <si>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</si>
  <si>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</si>
  <si>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</si>
  <si>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</si>
  <si>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</si>
  <si>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</si>
  <si>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</si>
  <si>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</si>
  <si>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</si>
  <si>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</si>
  <si>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</si>
  <si>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</si>
  <si>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</si>
  <si>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</si>
  <si>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</si>
  <si>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</si>
  <si>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</si>
  <si>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</si>
  <si>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</si>
  <si>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</si>
  <si>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</si>
  <si>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</si>
  <si>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</si>
  <si>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</si>
  <si>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</si>
  <si>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</si>
  <si>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</si>
  <si>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</si>
  <si>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</si>
  <si>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</si>
  <si>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</si>
  <si>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</si>
  <si>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</si>
  <si>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</si>
  <si>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</si>
  <si>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</si>
  <si>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</si>
  <si>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</si>
  <si>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</si>
  <si>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</si>
  <si>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</si>
  <si>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</si>
  <si>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</si>
  <si>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</si>
  <si>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</si>
  <si>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</si>
  <si>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</si>
  <si>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</si>
  <si>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</si>
  <si>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</si>
  <si>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</si>
  <si>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</si>
  <si>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</si>
  <si>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</si>
  <si>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</si>
  <si>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</si>
  <si>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</si>
  <si>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</si>
  <si>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</si>
  <si>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</si>
  <si>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</si>
  <si>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</si>
  <si>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</si>
  <si>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</si>
  <si>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</si>
  <si>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</si>
  <si>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</si>
  <si>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</si>
  <si>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</si>
  <si>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</si>
  <si>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</si>
  <si>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</si>
  <si>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</si>
  <si>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</si>
  <si>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</si>
  <si>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</si>
  <si>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</si>
  <si>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</si>
  <si>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</si>
  <si>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</si>
  <si>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</si>
  <si>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</si>
  <si>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</si>
  <si>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</si>
  <si>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</si>
  <si>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</si>
  <si>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</si>
  <si>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</si>
  <si>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</si>
  <si>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</si>
  <si>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</si>
  <si>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</si>
  <si>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</si>
  <si>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</si>
  <si>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</si>
  <si>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</si>
  <si>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</si>
  <si>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</si>
  <si>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</si>
  <si>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</si>
  <si>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</si>
  <si>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</si>
  <si>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</si>
  <si>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</si>
  <si>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</si>
  <si>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</si>
  <si>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</si>
  <si>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</si>
  <si>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</si>
  <si>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</si>
  <si>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</si>
  <si>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</si>
  <si>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</si>
  <si>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</si>
  <si>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</si>
  <si>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</si>
  <si>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</si>
  <si>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</si>
  <si>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</si>
  <si>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</si>
  <si>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</si>
  <si>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</si>
  <si>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</si>
  <si>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</si>
  <si>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</si>
  <si>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</si>
  <si>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</si>
  <si>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</si>
  <si>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</si>
  <si>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</si>
  <si>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</si>
  <si>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</si>
  <si>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</si>
  <si>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</si>
  <si>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</si>
  <si>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</si>
  <si>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</si>
  <si>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</si>
  <si>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</si>
  <si>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</si>
  <si>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</si>
  <si>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</si>
  <si>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</si>
  <si>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</si>
  <si>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</si>
  <si>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</si>
  <si>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</si>
  <si>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</si>
  <si>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</si>
  <si>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</si>
  <si>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</si>
  <si>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</si>
  <si>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</si>
  <si>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</si>
  <si>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</si>
  <si>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</si>
  <si>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</si>
  <si>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</si>
  <si>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</si>
  <si>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</si>
  <si>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</si>
  <si>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</si>
  <si>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</si>
  <si>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</si>
  <si>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</si>
  <si>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</si>
  <si>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</si>
  <si>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</si>
  <si>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</si>
  <si>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</si>
  <si>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</si>
  <si>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</si>
  <si>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</si>
  <si>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</si>
  <si>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</si>
  <si>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</si>
  <si>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</si>
  <si>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</si>
  <si>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</si>
  <si>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</si>
  <si>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</si>
  <si>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</si>
  <si>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</si>
  <si>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</si>
  <si>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</si>
  <si>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</si>
  <si>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</si>
  <si>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</si>
  <si>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</si>
  <si>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</si>
  <si>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</si>
  <si>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</si>
  <si>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</si>
  <si>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</si>
  <si>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</si>
  <si>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</si>
  <si>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</si>
  <si>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</si>
  <si>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</si>
  <si>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</si>
  <si>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</si>
  <si>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</si>
  <si>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</si>
  <si>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</si>
  <si>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</si>
  <si>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</si>
  <si>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</si>
  <si>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</si>
  <si>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</si>
  <si>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</si>
  <si>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</si>
  <si>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</si>
  <si>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</si>
  <si>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</si>
  <si>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</si>
  <si>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</si>
  <si>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</si>
  <si>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</si>
  <si>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</si>
  <si>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</si>
  <si>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</si>
  <si>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</si>
  <si>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</si>
  <si>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</si>
  <si>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</si>
  <si>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</si>
  <si>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</si>
  <si>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</si>
  <si>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</si>
  <si>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</si>
  <si>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</si>
  <si>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</si>
  <si>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</si>
  <si>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</si>
  <si>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</si>
  <si>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</si>
  <si>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</si>
  <si>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</si>
  <si>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</si>
  <si>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</si>
  <si>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</si>
  <si>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</si>
  <si>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</si>
  <si>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</si>
  <si>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</si>
  <si>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</si>
  <si>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</si>
  <si>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</si>
  <si>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</si>
  <si>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</si>
  <si>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</si>
  <si>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</si>
  <si>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</si>
  <si>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</si>
  <si>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</si>
  <si>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</si>
  <si>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</si>
  <si>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</si>
  <si>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</si>
  <si>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</si>
  <si>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</si>
  <si>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</si>
  <si>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</si>
  <si>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</si>
  <si>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</si>
  <si>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</si>
  <si>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</si>
  <si>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</si>
  <si>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</si>
  <si>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</si>
  <si>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</si>
  <si>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</si>
  <si>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</si>
  <si>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</si>
  <si>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</si>
  <si>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</si>
  <si>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</si>
  <si>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</si>
  <si>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</si>
  <si>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</si>
  <si>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</si>
  <si>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</si>
  <si>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</si>
  <si>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</si>
  <si>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</si>
  <si>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</si>
  <si>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</si>
  <si>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</si>
  <si>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</si>
  <si>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</si>
  <si>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</si>
  <si>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</si>
  <si>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</si>
  <si>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</si>
  <si>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</si>
  <si>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</si>
  <si>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</si>
  <si>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</si>
  <si>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</si>
  <si>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</si>
  <si>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</si>
  <si>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</si>
  <si>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</si>
  <si>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</si>
  <si>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</si>
  <si>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</si>
  <si>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</si>
  <si>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</si>
  <si>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</si>
  <si>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</si>
  <si>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</si>
  <si>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</si>
  <si>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</si>
  <si>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</si>
  <si>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</si>
  <si>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</si>
  <si>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</si>
  <si>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</si>
  <si>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</si>
  <si>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</si>
  <si>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</si>
  <si>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</si>
  <si>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</si>
  <si>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</si>
  <si>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</si>
  <si>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</si>
  <si>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</si>
  <si>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</si>
  <si>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</si>
  <si>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</si>
  <si>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</si>
  <si>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</si>
  <si>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</si>
  <si>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</si>
  <si>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</si>
  <si>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</si>
  <si>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</si>
  <si>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</si>
  <si>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</si>
  <si>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</si>
  <si>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</si>
  <si>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</si>
  <si>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</si>
  <si>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</si>
  <si>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</si>
  <si>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</si>
  <si>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</si>
  <si>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</si>
  <si>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</si>
  <si>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</si>
  <si>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</si>
  <si>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</si>
  <si>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</si>
  <si>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</si>
  <si>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</si>
  <si>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</si>
  <si>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</si>
  <si>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</si>
  <si>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</si>
  <si>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</si>
  <si>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</si>
  <si>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</si>
  <si>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</si>
  <si>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</si>
  <si>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</si>
  <si>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</si>
  <si>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</si>
  <si>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</si>
  <si>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</si>
  <si>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</si>
  <si>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</si>
  <si>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</si>
  <si>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</si>
  <si>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</si>
  <si>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</si>
  <si>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</si>
  <si>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</si>
  <si>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</si>
  <si>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</si>
  <si>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</si>
  <si>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</si>
  <si>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</si>
  <si>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</si>
  <si>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</si>
  <si>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</si>
  <si>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</si>
  <si>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</si>
  <si>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</si>
  <si>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</si>
  <si>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</si>
  <si>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</si>
  <si>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</si>
  <si>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</si>
  <si>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</si>
  <si>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</si>
  <si>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</si>
  <si>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</si>
  <si>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</si>
  <si>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</si>
  <si>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</si>
  <si>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</si>
  <si>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</si>
  <si>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</si>
  <si>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</si>
  <si>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</si>
  <si>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</si>
  <si>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</si>
  <si>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</si>
  <si>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</si>
  <si>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</si>
  <si>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</si>
  <si>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</si>
  <si>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</si>
  <si>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</si>
  <si>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</si>
  <si>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</si>
  <si>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</si>
  <si>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</si>
  <si>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</si>
  <si>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</si>
  <si>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</si>
  <si>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</si>
  <si>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</si>
  <si>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</si>
  <si>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</si>
  <si>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</si>
  <si>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</si>
  <si>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</si>
  <si>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</si>
  <si>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</si>
  <si>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</si>
  <si>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</si>
  <si>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</si>
  <si>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</si>
  <si>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</si>
  <si>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</si>
  <si>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</si>
  <si>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</si>
  <si>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</si>
  <si>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</si>
  <si>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</si>
  <si>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</si>
  <si>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</si>
  <si>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</si>
  <si>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</si>
  <si>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</si>
  <si>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</si>
  <si>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</si>
  <si>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</si>
  <si>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</si>
  <si>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</si>
  <si>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</si>
  <si>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</si>
  <si>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</si>
  <si>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</si>
  <si>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</si>
  <si>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</si>
  <si>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</si>
  <si>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</si>
  <si>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</si>
  <si>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</si>
  <si>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</si>
  <si>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</si>
  <si>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</si>
  <si>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</si>
  <si>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</si>
  <si>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</si>
  <si>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</si>
  <si>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</si>
  <si>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</si>
  <si>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</si>
  <si>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</si>
  <si>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</si>
  <si>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</si>
  <si>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</si>
  <si>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</si>
  <si>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</si>
  <si>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</si>
  <si>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</si>
  <si>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</si>
  <si>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</si>
  <si>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</si>
  <si>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</si>
  <si>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</si>
  <si>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</si>
  <si>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</si>
  <si>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</si>
  <si>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</si>
  <si>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</si>
  <si>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</si>
  <si>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</si>
  <si>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</si>
  <si>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</si>
  <si>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</si>
  <si>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</si>
  <si>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</si>
  <si>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</si>
  <si>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</si>
  <si>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</si>
  <si>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</si>
  <si>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</si>
  <si>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</si>
  <si>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</si>
  <si>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</si>
  <si>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</si>
  <si>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</si>
  <si>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</si>
  <si>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</si>
  <si>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</si>
  <si>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</si>
  <si>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</si>
  <si>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</si>
  <si>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</si>
  <si>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</si>
  <si>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</si>
  <si>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</si>
  <si>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</si>
  <si>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</si>
  <si>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</si>
  <si>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</si>
  <si>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</si>
  <si>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</si>
  <si>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</si>
  <si>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</si>
  <si>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</si>
  <si>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</si>
  <si>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</si>
  <si>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</si>
  <si>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</si>
  <si>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</si>
  <si>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</si>
  <si>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</si>
  <si>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</si>
  <si>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</si>
  <si>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Playing field under constant maintence, condition assessment was deemed appropriate out of season. Failed criteria 1, 2 and 4. Must be scored poor due to failure of condition 1</t>
  </si>
  <si>
    <t>Out of season assessment, must be scored good</t>
  </si>
  <si>
    <t>Native trees to be utilised.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</si>
</sst>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3.94</c:v>
                </c:pt>
                <c:pt idx="1">
                  <c:v>0</c:v>
                </c:pt>
                <c:pt idx="2">
                  <c:v>0.8</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37.616</c:v>
                </c:pt>
                <c:pt idx="1">
                  <c:v>0</c:v>
                </c:pt>
                <c:pt idx="2">
                  <c:v>0.43599999999999994</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1.48</c:v>
                </c:pt>
                <c:pt idx="2">
                  <c:v>0</c:v>
                </c:pt>
                <c:pt idx="3">
                  <c:v>0.04</c:v>
                </c:pt>
                <c:pt idx="4">
                  <c:v>0</c:v>
                </c:pt>
                <c:pt idx="5">
                  <c:v>2.6799999999999997</c:v>
                </c:pt>
                <c:pt idx="6">
                  <c:v>0</c:v>
                </c:pt>
                <c:pt idx="7">
                  <c:v>0.54</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1.4</c:v>
                </c:pt>
                <c:pt idx="2">
                  <c:v>0</c:v>
                </c:pt>
                <c:pt idx="3">
                  <c:v>0.04</c:v>
                </c:pt>
                <c:pt idx="4">
                  <c:v>0</c:v>
                </c:pt>
                <c:pt idx="5">
                  <c:v>2.9000000000000004</c:v>
                </c:pt>
                <c:pt idx="6">
                  <c:v>0</c:v>
                </c:pt>
                <c:pt idx="7">
                  <c:v>0.54</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2.96</c:v>
                </c:pt>
                <c:pt idx="2">
                  <c:v>0</c:v>
                </c:pt>
                <c:pt idx="3">
                  <c:v>0.55199999999999994</c:v>
                </c:pt>
                <c:pt idx="4">
                  <c:v>0</c:v>
                </c:pt>
                <c:pt idx="5">
                  <c:v>27.087999999999997</c:v>
                </c:pt>
                <c:pt idx="6">
                  <c:v>0</c:v>
                </c:pt>
                <c:pt idx="7">
                  <c:v>7.452</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2.8</c:v>
                </c:pt>
                <c:pt idx="2">
                  <c:v>0</c:v>
                </c:pt>
                <c:pt idx="3">
                  <c:v>0.55199999999999994</c:v>
                </c:pt>
                <c:pt idx="4">
                  <c:v>0</c:v>
                </c:pt>
                <c:pt idx="5">
                  <c:v>27.301156050687997</c:v>
                </c:pt>
                <c:pt idx="6">
                  <c:v>0</c:v>
                </c:pt>
                <c:pt idx="7">
                  <c:v>7.452</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2.0000000000000018E-2</c:v>
                </c:pt>
                <c:pt idx="3">
                  <c:v>8.0000000000000071E-2</c:v>
                </c:pt>
                <c:pt idx="4">
                  <c:v>0.7</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2.96</c:v>
                </c:pt>
                <c:pt idx="2">
                  <c:v>0</c:v>
                </c:pt>
                <c:pt idx="3">
                  <c:v>0.55199999999999994</c:v>
                </c:pt>
                <c:pt idx="4">
                  <c:v>0</c:v>
                </c:pt>
                <c:pt idx="5">
                  <c:v>27.087999999999997</c:v>
                </c:pt>
                <c:pt idx="6">
                  <c:v>0</c:v>
                </c:pt>
                <c:pt idx="7">
                  <c:v>7.452</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2.8</c:v>
                </c:pt>
                <c:pt idx="2">
                  <c:v>0</c:v>
                </c:pt>
                <c:pt idx="3">
                  <c:v>0.55199999999999994</c:v>
                </c:pt>
                <c:pt idx="4">
                  <c:v>0</c:v>
                </c:pt>
                <c:pt idx="5">
                  <c:v>27.301156050687997</c:v>
                </c:pt>
                <c:pt idx="6">
                  <c:v>0</c:v>
                </c:pt>
                <c:pt idx="7">
                  <c:v>7.452</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-0.16000000000000014</c:v>
                </c:pt>
                <c:pt idx="2">
                  <c:v>0</c:v>
                </c:pt>
                <c:pt idx="3">
                  <c:v>0</c:v>
                </c:pt>
                <c:pt idx="4">
                  <c:v>0</c:v>
                </c:pt>
                <c:pt idx="5">
                  <c:v>0.21315605068799925</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1.48</c:v>
                </c:pt>
                <c:pt idx="2">
                  <c:v>0</c:v>
                </c:pt>
                <c:pt idx="3">
                  <c:v>0.04</c:v>
                </c:pt>
                <c:pt idx="4">
                  <c:v>0</c:v>
                </c:pt>
                <c:pt idx="5">
                  <c:v>2.6799999999999997</c:v>
                </c:pt>
                <c:pt idx="6">
                  <c:v>0</c:v>
                </c:pt>
                <c:pt idx="7">
                  <c:v>0.54</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1.4</c:v>
                </c:pt>
                <c:pt idx="2">
                  <c:v>0</c:v>
                </c:pt>
                <c:pt idx="3">
                  <c:v>0.04</c:v>
                </c:pt>
                <c:pt idx="4">
                  <c:v>0</c:v>
                </c:pt>
                <c:pt idx="5">
                  <c:v>2.9000000000000004</c:v>
                </c:pt>
                <c:pt idx="6">
                  <c:v>0</c:v>
                </c:pt>
                <c:pt idx="7">
                  <c:v>0.54</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-8.0000000000000071E-2</c:v>
                </c:pt>
                <c:pt idx="2">
                  <c:v>0</c:v>
                </c:pt>
                <c:pt idx="3">
                  <c:v>0</c:v>
                </c:pt>
                <c:pt idx="4">
                  <c:v>0</c:v>
                </c:pt>
                <c:pt idx="5">
                  <c:v>0.22000000000000064</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200025</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02098" y="1617981"/>
          <a:ext cx="695642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28575" y="894586"/>
          <a:ext cx="6845300" cy="743714"/>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56310"/>
          <a:ext cx="6686550" cy="743890"/>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05741" y="893445"/>
          <a:ext cx="5469255" cy="78131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9640"/>
          <a:ext cx="683895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68705"/>
          <a:ext cx="617220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4620" y="931545"/>
          <a:ext cx="6351905" cy="79083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9165"/>
          <a:ext cx="5396865"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56310"/>
          <a:ext cx="5795009" cy="77750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0025" y="1003935"/>
          <a:ext cx="4842509" cy="77940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71475" y="899160"/>
          <a:ext cx="49510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22020"/>
          <a:ext cx="5983605" cy="77750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3360" y="1000125"/>
          <a:ext cx="4204335" cy="77559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0500" y="769620"/>
          <a:ext cx="511302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15621" y="1195859"/>
          <a:ext cx="5300610" cy="76571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85825"/>
          <a:ext cx="4621530" cy="78321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08838"/>
          <a:ext cx="4357635" cy="77293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40625" defaultRowHeight="14.45" customHeight="1" zeroHeight="1" x14ac:dyDescent="0.25"/>
  <cols>
    <col min="1" max="2" width="9.140625" style="9" customWidth="1"/>
    <col min="3" max="3" width="7" style="9" customWidth="1"/>
    <col min="4" max="6" width="9.140625" style="9" customWidth="1"/>
    <col min="7" max="7" width="12.140625" style="9" customWidth="1"/>
    <col min="8" max="8" width="5.7109375" style="9" customWidth="1"/>
    <col min="9" max="9" width="9.140625" style="9" customWidth="1"/>
    <col min="10" max="10" width="34.5703125" style="9" customWidth="1"/>
    <col min="11" max="11" width="13.7109375" style="9" bestFit="1" customWidth="1"/>
    <col min="12" max="12" width="19.28515625" style="9" customWidth="1"/>
    <col min="13" max="14" width="9.140625" style="9" customWidth="1"/>
    <col min="15" max="16384" width="9.140625" style="9"/>
  </cols>
  <sheetData>
    <row r="1" spans="1:7" ht="30" customHeight="1" x14ac:dyDescent="0.35">
      <c r="A1" s="8"/>
      <c r="B1" s="8"/>
      <c r="C1" s="8"/>
      <c r="D1" s="8"/>
      <c r="E1" s="8"/>
      <c r="F1" s="8"/>
      <c r="G1" s="8"/>
    </row>
    <row r="2" spans="1:7" ht="16.5" customHeight="1" x14ac:dyDescent="0.25"/>
    <row r="3" spans="1:7" ht="16.5" customHeight="1" x14ac:dyDescent="0.25"/>
    <row r="4" spans="1:7" ht="16.5" customHeight="1" x14ac:dyDescent="0.25"/>
    <row r="5" spans="1:7" ht="16.5" customHeight="1" x14ac:dyDescent="0.25"/>
    <row r="6" spans="1:7" ht="16.5" customHeight="1" x14ac:dyDescent="0.25"/>
    <row r="7" spans="1:7" ht="16.5" customHeight="1" x14ac:dyDescent="0.25"/>
    <row r="8" spans="1:7" ht="16.5" customHeight="1" x14ac:dyDescent="0.25"/>
    <row r="9" spans="1:7" ht="16.5" customHeight="1" x14ac:dyDescent="0.25"/>
    <row r="10" spans="1:7" ht="16.5" customHeight="1" x14ac:dyDescent="0.25"/>
    <row r="11" spans="1:7" ht="16.5" customHeight="1" x14ac:dyDescent="0.25"/>
    <row r="12" spans="1:7" ht="16.5" customHeight="1" x14ac:dyDescent="0.25"/>
    <row r="13" spans="1:7" ht="16.5" customHeight="1" x14ac:dyDescent="0.25"/>
    <row r="14" spans="1:7" ht="16.5" customHeight="1" x14ac:dyDescent="0.25"/>
    <row r="15" spans="1:7" ht="16.5" customHeight="1" x14ac:dyDescent="0.25"/>
    <row r="16" spans="1:7" ht="16.5" customHeight="1" x14ac:dyDescent="0.25"/>
    <row r="17" spans="10:10" ht="16.5" customHeight="1" x14ac:dyDescent="0.25"/>
    <row r="18" spans="10:10" ht="16.5" customHeight="1" x14ac:dyDescent="0.25"/>
    <row r="19" spans="10:10" ht="16.5" customHeight="1" x14ac:dyDescent="0.25"/>
    <row r="20" spans="10:10" ht="16.5" customHeight="1" x14ac:dyDescent="0.25"/>
    <row r="21" spans="10:10" ht="16.5" customHeight="1" x14ac:dyDescent="0.25"/>
    <row r="22" spans="10:10" ht="16.5" customHeight="1" x14ac:dyDescent="0.25"/>
    <row r="23" spans="10:10" ht="16.5" customHeight="1" x14ac:dyDescent="0.25"/>
    <row r="24" spans="10:10" ht="16.5" customHeight="1" x14ac:dyDescent="0.25"/>
    <row r="25" spans="10:10" ht="16.5" customHeight="1" x14ac:dyDescent="0.25">
      <c r="J25" s="10"/>
    </row>
    <row r="26" spans="10:10" ht="16.5" customHeight="1" x14ac:dyDescent="0.25"/>
    <row r="27" spans="10:10" ht="16.5" customHeight="1" x14ac:dyDescent="0.25"/>
    <row r="28" spans="10:10" ht="16.5" customHeight="1" x14ac:dyDescent="0.25"/>
    <row r="29" spans="10:10" ht="16.5" customHeight="1" x14ac:dyDescent="0.25"/>
    <row r="30" spans="10:10" ht="16.5" customHeight="1" x14ac:dyDescent="0.25"/>
    <row r="31" spans="10:10" ht="16.5" customHeight="1" x14ac:dyDescent="0.25"/>
    <row r="32" spans="10:10"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3" ht="14.45" customHeight="1" x14ac:dyDescent="0.25"/>
    <row r="584" ht="14.45" customHeight="1" x14ac:dyDescent="0.25"/>
    <row r="585" ht="14.45" customHeight="1" x14ac:dyDescent="0.25"/>
    <row r="586" ht="14.45" customHeight="1" x14ac:dyDescent="0.25"/>
    <row r="587" ht="14.45" customHeight="1" x14ac:dyDescent="0.25"/>
    <row r="588" ht="14.45" customHeight="1" x14ac:dyDescent="0.25"/>
    <row r="589" ht="14.45" customHeight="1" x14ac:dyDescent="0.25"/>
    <row r="590" ht="14.45" customHeight="1" x14ac:dyDescent="0.25"/>
    <row r="591" ht="14.45" customHeight="1" x14ac:dyDescent="0.2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heetViews>
  <sheetFormatPr defaultColWidth="0" defaultRowHeight="0" customHeight="1" zeroHeight="1" x14ac:dyDescent="0.25"/>
  <cols>
    <col min="1" max="2" width="2.140625" style="11" customWidth="1"/>
    <col min="3" max="3" width="3" style="11" customWidth="1"/>
    <col min="4" max="4" width="10.5703125" style="11" customWidth="1"/>
    <col min="5" max="5" width="33.85546875" style="11" customWidth="1"/>
    <col min="6" max="6" width="14.7109375" style="11" customWidth="1"/>
    <col min="7" max="7" width="9.140625" style="11" customWidth="1"/>
    <col min="8" max="8" width="7.85546875" style="11" customWidth="1"/>
    <col min="9" max="9" width="35.28515625" style="11" customWidth="1"/>
    <col min="10" max="10" width="13.85546875" style="11" customWidth="1"/>
    <col min="11" max="11" width="2.85546875" style="11" customWidth="1"/>
    <col min="12" max="12" width="1.5703125" style="11" customWidth="1"/>
    <col min="13" max="13" width="4.140625" style="11" customWidth="1"/>
    <col min="14" max="14" width="4.28515625" style="11" customWidth="1"/>
    <col min="15" max="15" width="5.7109375" style="11" customWidth="1"/>
    <col min="16" max="16" width="9.140625" style="11" customWidth="1"/>
    <col min="17" max="17" width="34.5703125" style="11" customWidth="1"/>
    <col min="18" max="18" width="13.7109375" style="11" bestFit="1" customWidth="1"/>
    <col min="19" max="19" width="19.28515625" style="11" customWidth="1"/>
    <col min="20" max="28" width="9.140625" style="11" customWidth="1"/>
    <col min="29" max="29" width="0" style="11" hidden="1" customWidth="1"/>
    <col min="30" max="16384" width="9.140625" style="11" hidden="1"/>
  </cols>
  <sheetData>
    <row r="1" spans="1:19" ht="15.6" customHeight="1" x14ac:dyDescent="0.4">
      <c r="B1" s="12"/>
      <c r="C1" s="12"/>
      <c r="E1" s="13"/>
      <c r="F1" s="669"/>
      <c r="G1" s="669"/>
      <c r="H1" s="669"/>
      <c r="I1" s="669"/>
      <c r="J1" s="669"/>
      <c r="K1" s="670"/>
      <c r="L1" s="670"/>
      <c r="M1" s="670"/>
      <c r="N1" s="670"/>
      <c r="O1" s="670"/>
      <c r="P1" s="670"/>
    </row>
    <row r="2" spans="1:19" ht="15.75" customHeight="1" x14ac:dyDescent="0.4">
      <c r="B2" s="12"/>
      <c r="C2" s="12"/>
      <c r="E2" s="13"/>
    </row>
    <row r="3" spans="1:19" ht="15.75" customHeight="1" x14ac:dyDescent="0.4">
      <c r="A3" s="13"/>
      <c r="B3" s="13"/>
      <c r="C3" s="13"/>
      <c r="D3" s="13"/>
      <c r="E3" s="13"/>
      <c r="F3" s="671"/>
      <c r="G3" s="671"/>
      <c r="H3" s="671"/>
      <c r="I3" s="671"/>
      <c r="J3" s="671"/>
      <c r="K3" s="671"/>
      <c r="L3" s="671"/>
      <c r="M3" s="671"/>
      <c r="N3" s="671"/>
      <c r="O3" s="671"/>
      <c r="P3" s="671"/>
      <c r="Q3" s="671"/>
    </row>
    <row r="4" spans="1:19" ht="16.5" customHeight="1" x14ac:dyDescent="0.4">
      <c r="A4" s="13"/>
      <c r="B4" s="13"/>
      <c r="C4" s="13"/>
      <c r="D4" s="13"/>
      <c r="E4" s="13"/>
      <c r="F4" s="671"/>
      <c r="G4" s="671"/>
      <c r="H4" s="671"/>
      <c r="I4" s="671"/>
      <c r="J4" s="671"/>
      <c r="K4" s="671"/>
      <c r="L4" s="671"/>
      <c r="M4" s="671"/>
      <c r="N4" s="671"/>
      <c r="O4" s="671"/>
      <c r="P4" s="671"/>
      <c r="Q4" s="671"/>
    </row>
    <row r="5" spans="1:19" ht="16.5" customHeight="1" x14ac:dyDescent="0.4">
      <c r="A5" s="13"/>
      <c r="B5" s="13"/>
      <c r="C5" s="13"/>
      <c r="D5" s="13"/>
      <c r="E5" s="13"/>
      <c r="F5" s="14"/>
      <c r="G5" s="14"/>
      <c r="H5" s="14"/>
      <c r="I5" s="14"/>
      <c r="J5" s="14"/>
      <c r="K5" s="14"/>
      <c r="L5" s="14"/>
      <c r="M5" s="14"/>
      <c r="N5" s="14"/>
      <c r="O5" s="14"/>
      <c r="P5" s="14"/>
      <c r="Q5" s="14"/>
      <c r="R5" s="14"/>
      <c r="S5" s="14"/>
    </row>
    <row r="6" spans="1:19" ht="16.5" customHeight="1" x14ac:dyDescent="0.4">
      <c r="B6" s="12"/>
      <c r="C6" s="12"/>
      <c r="D6" s="13"/>
      <c r="E6" s="13"/>
      <c r="F6" s="14"/>
      <c r="G6" s="14"/>
      <c r="H6" s="14"/>
      <c r="I6" s="14"/>
      <c r="J6" s="14"/>
      <c r="K6" s="14"/>
      <c r="L6" s="14"/>
      <c r="M6" s="14"/>
      <c r="N6" s="14"/>
      <c r="O6" s="14"/>
      <c r="P6" s="14"/>
      <c r="Q6" s="14"/>
      <c r="R6" s="14"/>
      <c r="S6" s="14"/>
    </row>
    <row r="7" spans="1:19" ht="16.5" customHeight="1" x14ac:dyDescent="0.4">
      <c r="B7" s="12"/>
      <c r="C7" s="13"/>
      <c r="D7" s="13"/>
      <c r="E7" s="13"/>
      <c r="F7" s="14"/>
      <c r="G7" s="14"/>
      <c r="H7" s="14"/>
      <c r="I7" s="14"/>
      <c r="J7" s="14"/>
      <c r="K7" s="14"/>
      <c r="L7" s="14"/>
      <c r="M7" s="14"/>
      <c r="N7" s="14"/>
      <c r="O7" s="14"/>
      <c r="P7" s="14"/>
      <c r="Q7" s="14"/>
      <c r="R7" s="14"/>
      <c r="S7" s="14"/>
    </row>
    <row r="8" spans="1:19" ht="23.45" customHeight="1" thickBot="1" x14ac:dyDescent="0.45">
      <c r="B8" s="12"/>
      <c r="C8" s="12"/>
      <c r="D8" s="13"/>
      <c r="E8" s="677"/>
      <c r="F8" s="677"/>
      <c r="G8" s="677"/>
      <c r="H8" s="677"/>
      <c r="I8" s="677"/>
      <c r="J8" s="677"/>
      <c r="K8" s="14"/>
      <c r="L8" s="14"/>
      <c r="M8" s="14"/>
      <c r="N8" s="14"/>
      <c r="O8" s="14"/>
      <c r="P8" s="14"/>
      <c r="Q8" s="14"/>
      <c r="R8" s="14"/>
      <c r="S8" s="14"/>
    </row>
    <row r="9" spans="1:19" ht="23.45" customHeight="1" x14ac:dyDescent="0.25">
      <c r="B9" s="12"/>
      <c r="D9" s="686" t="s">
        <v>0</v>
      </c>
      <c r="E9" s="687"/>
      <c r="F9" s="687"/>
      <c r="G9" s="687"/>
      <c r="H9" s="687"/>
      <c r="I9" s="687"/>
      <c r="J9" s="688"/>
      <c r="K9" s="14"/>
      <c r="L9" s="14"/>
      <c r="M9" s="14"/>
      <c r="N9" s="14"/>
      <c r="O9" s="14"/>
      <c r="P9" s="14"/>
      <c r="Q9" s="14"/>
      <c r="R9" s="14"/>
      <c r="S9" s="14"/>
    </row>
    <row r="10" spans="1:19" ht="21.6" customHeight="1" thickBot="1" x14ac:dyDescent="0.3">
      <c r="B10" s="12"/>
      <c r="D10" s="689"/>
      <c r="E10" s="690"/>
      <c r="F10" s="690"/>
      <c r="G10" s="690"/>
      <c r="H10" s="690"/>
      <c r="I10" s="690"/>
      <c r="J10" s="691"/>
      <c r="K10" s="14"/>
      <c r="L10" s="14"/>
      <c r="M10" s="14"/>
      <c r="N10" s="14"/>
      <c r="P10" s="14"/>
      <c r="Q10" s="14"/>
      <c r="R10" s="14"/>
    </row>
    <row r="11" spans="1:19" ht="25.9" customHeight="1" x14ac:dyDescent="0.25">
      <c r="B11" s="12"/>
      <c r="D11" s="672" t="s">
        <v>1</v>
      </c>
      <c r="E11" s="673"/>
      <c r="F11" s="674"/>
      <c r="G11" s="675"/>
      <c r="H11" s="675"/>
      <c r="I11" s="675"/>
      <c r="J11" s="676"/>
      <c r="K11" s="14"/>
      <c r="L11" s="14"/>
      <c r="M11" s="14"/>
      <c r="N11" s="14"/>
      <c r="P11" s="14"/>
      <c r="Q11" s="14"/>
      <c r="R11" s="14"/>
    </row>
    <row r="12" spans="1:19" ht="24" customHeight="1" x14ac:dyDescent="0.25">
      <c r="B12" s="12"/>
      <c r="D12" s="667" t="s">
        <v>2</v>
      </c>
      <c r="E12" s="668"/>
      <c r="F12" s="692"/>
      <c r="G12" s="693"/>
      <c r="H12" s="693"/>
      <c r="I12" s="693"/>
      <c r="J12" s="694"/>
      <c r="K12" s="14"/>
      <c r="L12" s="14"/>
      <c r="M12" s="14"/>
      <c r="N12" s="14"/>
      <c r="P12" s="14"/>
      <c r="Q12" s="14"/>
      <c r="R12" s="14"/>
    </row>
    <row r="13" spans="1:19" ht="21.6" customHeight="1" x14ac:dyDescent="0.25">
      <c r="B13" s="12"/>
      <c r="D13" s="698" t="s">
        <v>3</v>
      </c>
      <c r="E13" s="699"/>
      <c r="F13" s="692"/>
      <c r="G13" s="693"/>
      <c r="H13" s="693"/>
      <c r="I13" s="693"/>
      <c r="J13" s="694"/>
      <c r="K13" s="14"/>
      <c r="L13" s="14"/>
      <c r="M13" s="14"/>
      <c r="N13" s="14"/>
      <c r="P13" s="14"/>
      <c r="Q13" s="14"/>
      <c r="R13" s="14"/>
    </row>
    <row r="14" spans="1:19" ht="22.15" customHeight="1" x14ac:dyDescent="0.25">
      <c r="B14" s="12"/>
      <c r="D14" s="667" t="s">
        <v>4</v>
      </c>
      <c r="E14" s="668"/>
      <c r="F14" s="692"/>
      <c r="G14" s="693"/>
      <c r="H14" s="693"/>
      <c r="I14" s="693"/>
      <c r="J14" s="694"/>
      <c r="K14" s="14"/>
      <c r="L14" s="14"/>
      <c r="M14" s="14"/>
      <c r="N14" s="14"/>
      <c r="P14" s="14"/>
      <c r="Q14" s="14"/>
      <c r="R14" s="14"/>
    </row>
    <row r="15" spans="1:19" ht="21.6" customHeight="1" x14ac:dyDescent="0.25">
      <c r="B15" s="12"/>
      <c r="D15" s="667" t="s">
        <v>5</v>
      </c>
      <c r="E15" s="668"/>
      <c r="F15" s="692"/>
      <c r="G15" s="693"/>
      <c r="H15" s="693"/>
      <c r="I15" s="693"/>
      <c r="J15" s="694"/>
      <c r="K15" s="14"/>
      <c r="L15" s="14"/>
      <c r="M15" s="14"/>
      <c r="N15" s="14"/>
      <c r="P15" s="14"/>
      <c r="Q15" s="14"/>
      <c r="R15" s="14"/>
    </row>
    <row r="16" spans="1:19" ht="21" customHeight="1" x14ac:dyDescent="0.25">
      <c r="D16" s="667" t="s">
        <v>6</v>
      </c>
      <c r="E16" s="668"/>
      <c r="F16" s="692"/>
      <c r="G16" s="693"/>
      <c r="H16" s="693"/>
      <c r="I16" s="693"/>
      <c r="J16" s="694"/>
      <c r="K16" s="14"/>
      <c r="L16" s="14"/>
      <c r="M16" s="14"/>
      <c r="N16" s="14"/>
      <c r="P16" s="14"/>
      <c r="Q16" s="14"/>
      <c r="R16" s="14"/>
    </row>
    <row r="17" spans="3:18" ht="23.45" customHeight="1" x14ac:dyDescent="0.25">
      <c r="D17" s="667" t="s">
        <v>7</v>
      </c>
      <c r="E17" s="668"/>
      <c r="F17" s="692"/>
      <c r="G17" s="693"/>
      <c r="H17" s="693"/>
      <c r="I17" s="693"/>
      <c r="J17" s="694"/>
      <c r="K17" s="14"/>
      <c r="L17" s="14"/>
      <c r="M17" s="14"/>
      <c r="N17" s="14"/>
      <c r="P17" s="14"/>
      <c r="Q17" s="14"/>
      <c r="R17" s="14"/>
    </row>
    <row r="18" spans="3:18" ht="19.899999999999999" customHeight="1" x14ac:dyDescent="0.25">
      <c r="D18" s="667" t="s">
        <v>8</v>
      </c>
      <c r="E18" s="668"/>
      <c r="F18" s="692"/>
      <c r="G18" s="693"/>
      <c r="H18" s="693"/>
      <c r="I18" s="693"/>
      <c r="J18" s="694"/>
      <c r="K18" s="14"/>
      <c r="L18" s="14"/>
      <c r="M18" s="14"/>
      <c r="N18" s="14"/>
      <c r="P18" s="14"/>
      <c r="Q18" s="14"/>
      <c r="R18" s="14"/>
    </row>
    <row r="19" spans="3:18" ht="19.899999999999999" customHeight="1" x14ac:dyDescent="0.25">
      <c r="D19" s="667" t="s">
        <v>9</v>
      </c>
      <c r="E19" s="668"/>
      <c r="F19" s="695"/>
      <c r="G19" s="696"/>
      <c r="H19" s="696"/>
      <c r="I19" s="696"/>
      <c r="J19" s="697"/>
      <c r="K19" s="14"/>
      <c r="L19" s="14"/>
      <c r="M19" s="14"/>
      <c r="N19" s="14"/>
      <c r="P19" s="14"/>
      <c r="Q19" s="14"/>
      <c r="R19" s="14"/>
    </row>
    <row r="20" spans="3:18" ht="21.6" customHeight="1" thickBot="1" x14ac:dyDescent="0.3">
      <c r="D20" s="700" t="s">
        <v>10</v>
      </c>
      <c r="E20" s="701"/>
      <c r="F20" s="702"/>
      <c r="G20" s="703"/>
      <c r="H20" s="703"/>
      <c r="I20" s="703"/>
      <c r="J20" s="704"/>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35">
      <c r="C23" s="14"/>
      <c r="D23" s="707" t="s">
        <v>11</v>
      </c>
      <c r="E23" s="708"/>
      <c r="F23" s="708"/>
      <c r="G23" s="708"/>
      <c r="H23" s="708"/>
      <c r="I23" s="708"/>
      <c r="J23" s="709"/>
      <c r="K23" s="14"/>
      <c r="L23" s="15"/>
      <c r="M23" s="15"/>
      <c r="N23" s="15"/>
      <c r="P23" s="14"/>
      <c r="Q23" s="14"/>
      <c r="R23" s="14"/>
    </row>
    <row r="24" spans="3:18" ht="16.5" customHeight="1" x14ac:dyDescent="0.25">
      <c r="P24" s="14"/>
      <c r="Q24" s="14"/>
      <c r="R24" s="14"/>
    </row>
    <row r="25" spans="3:18" ht="16.5" customHeight="1" x14ac:dyDescent="0.25">
      <c r="D25" s="705"/>
      <c r="E25" s="706"/>
      <c r="F25" s="680" t="s">
        <v>12</v>
      </c>
      <c r="G25" s="681"/>
      <c r="H25" s="681"/>
      <c r="I25" s="681"/>
      <c r="J25" s="682"/>
      <c r="K25" s="14"/>
      <c r="L25" s="14"/>
      <c r="M25" s="14"/>
      <c r="N25" s="14"/>
      <c r="P25" s="14"/>
      <c r="Q25" s="14"/>
      <c r="R25" s="14"/>
    </row>
    <row r="26" spans="3:18" ht="16.5" customHeight="1" x14ac:dyDescent="0.25">
      <c r="D26" s="710"/>
      <c r="E26" s="711"/>
      <c r="F26" s="680" t="s">
        <v>13</v>
      </c>
      <c r="G26" s="681"/>
      <c r="H26" s="681"/>
      <c r="I26" s="681"/>
      <c r="J26" s="682"/>
      <c r="K26" s="14"/>
      <c r="L26" s="14"/>
      <c r="M26" s="14"/>
      <c r="N26" s="14"/>
      <c r="P26" s="14"/>
      <c r="Q26" s="14"/>
      <c r="R26" s="14"/>
    </row>
    <row r="27" spans="3:18" ht="16.5" customHeight="1" thickBot="1" x14ac:dyDescent="0.3">
      <c r="D27" s="678"/>
      <c r="E27" s="679"/>
      <c r="F27" s="683" t="s">
        <v>14</v>
      </c>
      <c r="G27" s="684"/>
      <c r="H27" s="684"/>
      <c r="I27" s="684"/>
      <c r="J27" s="685"/>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75" x14ac:dyDescent="0.25">
      <c r="D30" s="14"/>
      <c r="E30" s="14"/>
      <c r="F30" s="14"/>
      <c r="G30" s="14"/>
      <c r="H30" s="14"/>
      <c r="I30" s="14"/>
      <c r="J30" s="14"/>
      <c r="K30" s="14"/>
      <c r="L30" s="14"/>
      <c r="M30" s="14"/>
      <c r="N30" s="14"/>
      <c r="P30" s="14"/>
      <c r="Q30" s="14"/>
      <c r="R30" s="14"/>
    </row>
    <row r="31" spans="3:18" ht="15.75" x14ac:dyDescent="0.25">
      <c r="D31" s="14"/>
      <c r="E31" s="14"/>
      <c r="F31" s="14"/>
      <c r="G31" s="14"/>
      <c r="H31" s="14"/>
      <c r="I31" s="14"/>
      <c r="J31" s="14"/>
      <c r="K31" s="14"/>
      <c r="L31" s="14"/>
      <c r="M31" s="14"/>
      <c r="N31" s="14"/>
      <c r="O31" s="14"/>
      <c r="P31" s="14"/>
      <c r="Q31" s="14"/>
      <c r="R31" s="14"/>
    </row>
    <row r="32" spans="3:18" ht="15.75" x14ac:dyDescent="0.25">
      <c r="D32" s="14"/>
      <c r="E32" s="14"/>
      <c r="F32" s="14"/>
      <c r="G32" s="14"/>
      <c r="H32" s="14"/>
      <c r="I32" s="14"/>
      <c r="J32" s="14"/>
      <c r="K32" s="14"/>
      <c r="L32" s="14"/>
      <c r="M32" s="14"/>
      <c r="N32" s="14"/>
      <c r="O32" s="14"/>
      <c r="P32" s="14"/>
      <c r="Q32" s="14"/>
      <c r="R32" s="14"/>
    </row>
    <row r="33" spans="4:18" ht="15.75" x14ac:dyDescent="0.25">
      <c r="D33" s="14"/>
      <c r="E33" s="14"/>
      <c r="F33" s="14"/>
      <c r="G33" s="14"/>
      <c r="H33" s="14"/>
      <c r="I33" s="14"/>
      <c r="J33" s="14"/>
      <c r="K33" s="14"/>
      <c r="L33" s="14"/>
      <c r="M33" s="14"/>
      <c r="N33" s="14"/>
      <c r="O33" s="14"/>
      <c r="P33" s="14"/>
      <c r="Q33" s="14"/>
      <c r="R33" s="14"/>
    </row>
    <row r="34" spans="4:18" ht="15.75" x14ac:dyDescent="0.25">
      <c r="D34" s="14"/>
      <c r="E34" s="14"/>
      <c r="F34" s="14"/>
      <c r="G34" s="14"/>
      <c r="H34" s="14"/>
      <c r="I34" s="14"/>
      <c r="J34" s="14"/>
      <c r="K34" s="14"/>
      <c r="L34" s="14"/>
      <c r="M34" s="14"/>
      <c r="N34" s="14"/>
      <c r="O34" s="14"/>
      <c r="P34" s="14"/>
      <c r="Q34" s="14"/>
      <c r="R34" s="14"/>
    </row>
    <row r="35" spans="4:18" ht="15.75" x14ac:dyDescent="0.25">
      <c r="D35" s="14"/>
      <c r="E35" s="14"/>
      <c r="F35" s="14"/>
      <c r="G35" s="14"/>
      <c r="H35" s="14"/>
      <c r="I35" s="14"/>
      <c r="J35" s="14"/>
      <c r="K35" s="14"/>
      <c r="L35" s="14"/>
      <c r="M35" s="14"/>
      <c r="N35" s="14"/>
      <c r="O35" s="14"/>
      <c r="P35" s="14"/>
      <c r="Q35" s="14"/>
      <c r="R35" s="14"/>
    </row>
    <row r="36" spans="4:18" ht="15.75" x14ac:dyDescent="0.25">
      <c r="D36" s="14"/>
      <c r="E36" s="14"/>
      <c r="F36" s="14"/>
      <c r="G36" s="14"/>
      <c r="H36" s="14"/>
      <c r="I36" s="14"/>
      <c r="J36" s="14"/>
      <c r="K36" s="14"/>
      <c r="L36" s="14"/>
      <c r="M36" s="14"/>
      <c r="N36" s="14"/>
      <c r="O36" s="14"/>
      <c r="P36" s="14"/>
      <c r="Q36" s="14"/>
      <c r="R36" s="14"/>
    </row>
    <row r="37" spans="4:18" ht="15.75" x14ac:dyDescent="0.25">
      <c r="D37" s="14"/>
      <c r="E37" s="14"/>
      <c r="F37" s="14"/>
      <c r="G37" s="14"/>
      <c r="H37" s="14"/>
      <c r="I37" s="14"/>
      <c r="J37" s="14"/>
      <c r="K37" s="14"/>
      <c r="L37" s="14"/>
      <c r="M37" s="14"/>
      <c r="N37" s="14"/>
      <c r="O37" s="14"/>
      <c r="P37" s="14"/>
      <c r="Q37" s="14"/>
      <c r="R37" s="14"/>
    </row>
    <row r="38" spans="4:18" ht="15.75" x14ac:dyDescent="0.25">
      <c r="D38" s="14"/>
      <c r="E38" s="14"/>
      <c r="F38" s="14"/>
      <c r="G38" s="14"/>
      <c r="H38" s="14"/>
      <c r="I38" s="14"/>
      <c r="J38" s="14"/>
      <c r="K38" s="14"/>
      <c r="L38" s="14"/>
      <c r="M38" s="14"/>
      <c r="N38" s="14"/>
      <c r="O38" s="14"/>
      <c r="P38" s="14"/>
      <c r="Q38" s="14"/>
      <c r="R38" s="14"/>
    </row>
    <row r="39" spans="4:18" ht="15.75" x14ac:dyDescent="0.25">
      <c r="D39" s="14"/>
      <c r="E39" s="14"/>
      <c r="F39" s="14"/>
      <c r="G39" s="14"/>
      <c r="H39" s="14"/>
      <c r="I39" s="14"/>
      <c r="J39" s="14"/>
      <c r="K39" s="14"/>
      <c r="L39" s="14"/>
      <c r="M39" s="14"/>
      <c r="N39" s="14"/>
      <c r="O39" s="14"/>
      <c r="P39" s="14"/>
      <c r="Q39" s="14"/>
      <c r="R39" s="14"/>
    </row>
    <row r="40" spans="4:18" ht="15.75" x14ac:dyDescent="0.25">
      <c r="D40" s="14"/>
      <c r="E40" s="14"/>
      <c r="F40" s="14"/>
      <c r="G40" s="14"/>
      <c r="H40" s="14"/>
      <c r="I40" s="14"/>
      <c r="J40" s="14"/>
      <c r="K40" s="14"/>
      <c r="L40" s="14"/>
      <c r="M40" s="14"/>
      <c r="N40" s="14"/>
      <c r="O40" s="14"/>
      <c r="P40" s="14"/>
      <c r="Q40" s="14"/>
      <c r="R40" s="14"/>
    </row>
    <row r="41" spans="4:18" ht="15.75" x14ac:dyDescent="0.25">
      <c r="D41" s="14"/>
      <c r="E41" s="14"/>
      <c r="F41" s="14"/>
      <c r="G41" s="14"/>
      <c r="H41" s="14"/>
      <c r="I41" s="14"/>
      <c r="J41" s="14"/>
      <c r="K41" s="14"/>
      <c r="L41" s="14"/>
      <c r="M41" s="14"/>
      <c r="N41" s="14"/>
      <c r="O41" s="14"/>
      <c r="P41" s="14"/>
      <c r="Q41" s="14"/>
      <c r="R41" s="14"/>
    </row>
    <row r="42" spans="4:18" ht="15.75" x14ac:dyDescent="0.25">
      <c r="D42" s="14"/>
      <c r="E42" s="14"/>
      <c r="F42" s="14"/>
      <c r="G42" s="14"/>
      <c r="H42" s="14"/>
      <c r="I42" s="14"/>
      <c r="J42" s="14"/>
      <c r="K42" s="14"/>
      <c r="L42" s="14"/>
      <c r="M42" s="14"/>
      <c r="N42" s="14"/>
      <c r="O42" s="14"/>
      <c r="P42" s="14"/>
      <c r="Q42" s="14"/>
      <c r="R42" s="14"/>
    </row>
    <row r="43" spans="4:18" ht="15.75" x14ac:dyDescent="0.25">
      <c r="D43" s="14"/>
      <c r="E43" s="14"/>
      <c r="F43" s="14"/>
      <c r="G43" s="14"/>
      <c r="H43" s="14"/>
      <c r="I43" s="14"/>
      <c r="J43" s="14"/>
      <c r="K43" s="14"/>
      <c r="L43" s="14"/>
      <c r="M43" s="14"/>
      <c r="N43" s="14"/>
      <c r="O43" s="14"/>
      <c r="P43" s="14"/>
      <c r="Q43" s="14"/>
      <c r="R43" s="14"/>
    </row>
    <row r="44" spans="4:18" ht="15.75"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75" x14ac:dyDescent="0.25">
      <c r="P46" s="14"/>
      <c r="Q46" s="14"/>
      <c r="R46" s="14"/>
    </row>
    <row r="47" spans="4:18" ht="15" x14ac:dyDescent="0.25"/>
    <row r="48" spans="4:18" ht="15" x14ac:dyDescent="0.25"/>
    <row r="49" ht="15" x14ac:dyDescent="0.25"/>
    <row r="50" ht="15" x14ac:dyDescent="0.25"/>
    <row r="51" ht="6" customHeight="1" x14ac:dyDescent="0.25"/>
    <row r="52" ht="15" x14ac:dyDescent="0.25"/>
    <row r="53" ht="15" x14ac:dyDescent="0.25"/>
    <row r="54" ht="15"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140625" style="9" customWidth="1"/>
    <col min="27" max="16384" width="9.140625" style="9" hidden="1"/>
  </cols>
  <sheetData>
    <row r="1" spans="1:18" ht="15.75" customHeight="1" x14ac:dyDescent="0.5">
      <c r="B1" s="16"/>
      <c r="C1" s="16"/>
      <c r="E1" s="17"/>
      <c r="F1" s="712"/>
      <c r="G1" s="712"/>
      <c r="H1" s="712"/>
      <c r="I1" s="712"/>
      <c r="J1" s="712"/>
      <c r="K1" s="713"/>
      <c r="L1" s="713"/>
      <c r="M1" s="713"/>
      <c r="N1" s="713"/>
      <c r="O1" s="713"/>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8"/>
      <c r="E10" s="8"/>
      <c r="F10" s="8"/>
      <c r="G10" s="714"/>
      <c r="H10" s="714"/>
      <c r="I10" s="714"/>
      <c r="J10" s="714"/>
      <c r="K10" s="714"/>
      <c r="L10" s="714"/>
      <c r="M10" s="714"/>
      <c r="N10" s="714"/>
      <c r="O10" s="71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c r="B16" s="16"/>
      <c r="C16" s="16"/>
    </row>
    <row r="17" spans="2:3" ht="16.5" customHeight="1" x14ac:dyDescent="0.25">
      <c r="B17" s="16"/>
      <c r="C17" s="16"/>
    </row>
    <row r="18" spans="2:3" ht="16.5" customHeight="1" x14ac:dyDescent="0.25">
      <c r="B18" s="16"/>
      <c r="C18" s="16"/>
    </row>
    <row r="19" spans="2:3" ht="16.5" customHeight="1" x14ac:dyDescent="0.25">
      <c r="B19" s="16"/>
      <c r="C19" s="16"/>
    </row>
    <row r="20" spans="2:3" ht="16.5" customHeight="1" x14ac:dyDescent="0.25">
      <c r="B20" s="16"/>
      <c r="C20" s="16"/>
    </row>
    <row r="21" spans="2:3" ht="16.5" customHeight="1" x14ac:dyDescent="0.25">
      <c r="B21" s="16"/>
      <c r="C21" s="16"/>
    </row>
    <row r="22" spans="2:3" ht="16.5" customHeight="1" x14ac:dyDescent="0.25">
      <c r="B22" s="16"/>
      <c r="C22" s="16"/>
    </row>
    <row r="23" spans="2:3" ht="16.5" customHeight="1" x14ac:dyDescent="0.25">
      <c r="B23" s="16"/>
      <c r="C23" s="16"/>
    </row>
    <row r="24" spans="2:3" ht="16.5" customHeight="1" x14ac:dyDescent="0.25">
      <c r="B24" s="16"/>
      <c r="C24" s="16"/>
    </row>
    <row r="25" spans="2:3" ht="16.5" customHeight="1" x14ac:dyDescent="0.25">
      <c r="B25" s="16"/>
      <c r="C25" s="16"/>
    </row>
    <row r="26" spans="2:3" ht="16.5" customHeight="1" x14ac:dyDescent="0.25">
      <c r="B26" s="16"/>
      <c r="C26" s="16"/>
    </row>
    <row r="27" spans="2:3" ht="16.5" customHeight="1" x14ac:dyDescent="0.25">
      <c r="B27" s="16"/>
      <c r="C27" s="16"/>
    </row>
    <row r="28" spans="2:3" ht="16.5" customHeight="1" x14ac:dyDescent="0.25">
      <c r="B28" s="16"/>
      <c r="C28" s="16"/>
    </row>
    <row r="29" spans="2:3" ht="16.5" customHeight="1" x14ac:dyDescent="0.25">
      <c r="B29" s="16"/>
      <c r="C29" s="16"/>
    </row>
    <row r="30" spans="2:3" ht="16.5" customHeight="1" x14ac:dyDescent="0.25">
      <c r="B30" s="16"/>
      <c r="C30" s="16"/>
    </row>
    <row r="31" spans="2:3" ht="16.5" customHeight="1" x14ac:dyDescent="0.25">
      <c r="B31" s="16"/>
      <c r="C31" s="16"/>
    </row>
    <row r="32" spans="2:3" ht="16.5" customHeight="1" x14ac:dyDescent="0.25">
      <c r="B32" s="16"/>
      <c r="C32" s="16"/>
    </row>
    <row r="33" spans="2:3" ht="16.5" customHeight="1" x14ac:dyDescent="0.25">
      <c r="B33" s="16"/>
      <c r="C33" s="16"/>
    </row>
    <row r="34" spans="2:3" ht="16.5" customHeight="1" x14ac:dyDescent="0.25">
      <c r="B34" s="16"/>
      <c r="C34" s="16"/>
    </row>
    <row r="35" spans="2:3" ht="16.5" customHeight="1" x14ac:dyDescent="0.25">
      <c r="B35" s="16"/>
      <c r="C35" s="16"/>
    </row>
    <row r="36" spans="2:3" ht="16.5" customHeight="1" x14ac:dyDescent="0.25">
      <c r="B36" s="16"/>
      <c r="C36" s="16"/>
    </row>
    <row r="37" spans="2:3" ht="16.5" customHeight="1" x14ac:dyDescent="0.25">
      <c r="B37" s="16"/>
      <c r="C37" s="16"/>
    </row>
    <row r="38" spans="2:3" ht="16.5" customHeight="1" x14ac:dyDescent="0.25">
      <c r="B38" s="16"/>
      <c r="C38" s="16"/>
    </row>
    <row r="39" spans="2:3" ht="16.5" customHeight="1" x14ac:dyDescent="0.25">
      <c r="B39" s="16"/>
      <c r="C39" s="16"/>
    </row>
    <row r="40" spans="2:3" ht="16.5" customHeight="1" x14ac:dyDescent="0.25">
      <c r="B40" s="16"/>
      <c r="C40" s="16"/>
    </row>
    <row r="41" spans="2:3" ht="16.5" customHeight="1" x14ac:dyDescent="0.25">
      <c r="B41" s="16"/>
      <c r="C41" s="16"/>
    </row>
    <row r="42" spans="2:3" ht="16.5" customHeight="1" x14ac:dyDescent="0.25">
      <c r="B42" s="16"/>
      <c r="C42" s="16"/>
    </row>
    <row r="43" spans="2:3" ht="16.5" customHeight="1" x14ac:dyDescent="0.25">
      <c r="B43" s="16"/>
      <c r="C43" s="16"/>
    </row>
    <row r="44" spans="2:3" ht="16.5" customHeight="1" x14ac:dyDescent="0.25">
      <c r="B44" s="16"/>
      <c r="C44" s="16"/>
    </row>
    <row r="45" spans="2:3" ht="16.5" customHeight="1" x14ac:dyDescent="0.25">
      <c r="B45" s="16"/>
      <c r="C45" s="16"/>
    </row>
    <row r="46" spans="2:3" ht="16.5" customHeight="1" x14ac:dyDescent="0.25">
      <c r="B46" s="16"/>
      <c r="C46" s="16"/>
    </row>
    <row r="47" spans="2:3" ht="16.5" customHeight="1" x14ac:dyDescent="0.25">
      <c r="B47" s="16"/>
      <c r="C47" s="16"/>
    </row>
    <row r="48" spans="2:3" ht="16.5" customHeight="1" x14ac:dyDescent="0.25">
      <c r="B48" s="16"/>
      <c r="C48" s="16"/>
    </row>
    <row r="49" spans="2:3" ht="16.5" customHeight="1" x14ac:dyDescent="0.25">
      <c r="B49" s="16"/>
      <c r="C49" s="16"/>
    </row>
    <row r="50" spans="2:3" ht="16.5" customHeight="1" x14ac:dyDescent="0.25">
      <c r="B50" s="16"/>
      <c r="C50" s="16"/>
    </row>
    <row r="51" spans="2:3" ht="16.5" customHeight="1" x14ac:dyDescent="0.25">
      <c r="B51" s="16"/>
      <c r="C51" s="16"/>
    </row>
    <row r="52" spans="2:3" ht="16.5" customHeight="1" x14ac:dyDescent="0.25">
      <c r="B52" s="16"/>
      <c r="C52" s="16"/>
    </row>
    <row r="53" spans="2:3" ht="16.5" customHeight="1" x14ac:dyDescent="0.25">
      <c r="B53" s="16"/>
      <c r="C53" s="16"/>
    </row>
    <row r="54" spans="2:3" ht="16.5" customHeight="1" x14ac:dyDescent="0.25">
      <c r="B54" s="16"/>
      <c r="C54" s="16"/>
    </row>
    <row r="55" spans="2:3" ht="16.5" customHeight="1" x14ac:dyDescent="0.25">
      <c r="B55" s="16"/>
      <c r="C55" s="16"/>
    </row>
    <row r="56" spans="2:3" ht="16.5" customHeight="1" x14ac:dyDescent="0.25">
      <c r="B56" s="16"/>
      <c r="C56" s="16"/>
    </row>
    <row r="57" spans="2:3" ht="16.5" customHeight="1" x14ac:dyDescent="0.25">
      <c r="B57" s="16"/>
      <c r="C57" s="16"/>
    </row>
    <row r="58" spans="2:3" ht="16.5" customHeight="1" x14ac:dyDescent="0.25">
      <c r="B58" s="16"/>
      <c r="C58" s="16"/>
    </row>
    <row r="59" spans="2:3" ht="16.5" customHeight="1" x14ac:dyDescent="0.25">
      <c r="B59" s="16"/>
      <c r="C59" s="16"/>
    </row>
    <row r="60" spans="2:3" ht="16.5" hidden="1" customHeight="1" x14ac:dyDescent="0.25">
      <c r="B60" s="16"/>
      <c r="C60" s="16"/>
    </row>
    <row r="61" spans="2:3" ht="16.5" hidden="1" customHeight="1" x14ac:dyDescent="0.25">
      <c r="B61" s="16"/>
      <c r="C61" s="16"/>
    </row>
    <row r="62" spans="2:3" ht="16.5" hidden="1" customHeight="1" x14ac:dyDescent="0.25">
      <c r="B62" s="16"/>
      <c r="C62" s="16"/>
    </row>
    <row r="63" spans="2:3" ht="16.5" hidden="1" customHeight="1" x14ac:dyDescent="0.25">
      <c r="B63" s="16"/>
      <c r="C63" s="16"/>
    </row>
    <row r="64" spans="2:3" ht="16.5" hidden="1" customHeight="1" x14ac:dyDescent="0.25">
      <c r="B64" s="16"/>
      <c r="C64" s="16"/>
    </row>
    <row r="65" spans="2:3" ht="16.5" hidden="1" customHeight="1" x14ac:dyDescent="0.25">
      <c r="B65" s="16"/>
      <c r="C65" s="16"/>
    </row>
    <row r="66" spans="2:3" ht="16.5" hidden="1" customHeight="1" x14ac:dyDescent="0.25">
      <c r="B66" s="16"/>
      <c r="C66" s="16"/>
    </row>
    <row r="67" spans="2:3" ht="16.5" hidden="1" customHeight="1" x14ac:dyDescent="0.25">
      <c r="B67" s="16"/>
      <c r="C67" s="16"/>
    </row>
    <row r="68" spans="2:3" ht="16.5" hidden="1" customHeight="1" x14ac:dyDescent="0.25">
      <c r="B68" s="16"/>
      <c r="C68" s="16"/>
    </row>
    <row r="69" spans="2:3" ht="16.5" hidden="1" customHeight="1" x14ac:dyDescent="0.25">
      <c r="B69" s="16"/>
      <c r="C69" s="16"/>
    </row>
    <row r="70" spans="2:3" ht="16.5" hidden="1" customHeight="1" x14ac:dyDescent="0.25">
      <c r="B70" s="16"/>
      <c r="C70" s="16"/>
    </row>
    <row r="71" spans="2:3" ht="16.5" hidden="1" customHeight="1" x14ac:dyDescent="0.25">
      <c r="B71" s="16"/>
      <c r="C71" s="16"/>
    </row>
    <row r="72" spans="2:3" ht="16.5" hidden="1" customHeight="1" x14ac:dyDescent="0.25">
      <c r="B72" s="16"/>
      <c r="C72" s="16"/>
    </row>
    <row r="73" spans="2:3" ht="16.5" hidden="1" customHeight="1" x14ac:dyDescent="0.25">
      <c r="B73" s="16"/>
      <c r="C73" s="16"/>
    </row>
    <row r="74" spans="2:3" ht="16.5" hidden="1" customHeight="1" x14ac:dyDescent="0.25">
      <c r="B74" s="16"/>
      <c r="C74" s="16"/>
    </row>
    <row r="75" spans="2:3" ht="16.5" hidden="1" customHeight="1" x14ac:dyDescent="0.25">
      <c r="B75" s="16"/>
      <c r="C75" s="16"/>
    </row>
    <row r="76" spans="2:3" ht="16.5" hidden="1" customHeight="1" x14ac:dyDescent="0.25">
      <c r="B76" s="16"/>
      <c r="C76" s="16"/>
    </row>
    <row r="77" spans="2:3" ht="16.5" hidden="1" customHeight="1" x14ac:dyDescent="0.25">
      <c r="B77" s="16"/>
      <c r="C77" s="16"/>
    </row>
    <row r="78" spans="2:3" ht="16.5" hidden="1" customHeight="1" x14ac:dyDescent="0.25">
      <c r="B78" s="16"/>
      <c r="C78" s="16"/>
    </row>
    <row r="79" spans="2:3" ht="16.5" hidden="1" customHeight="1" x14ac:dyDescent="0.25">
      <c r="B79" s="16"/>
      <c r="C79" s="16"/>
    </row>
    <row r="80" spans="2:3" ht="16.5" hidden="1" customHeight="1" x14ac:dyDescent="0.25">
      <c r="B80" s="16"/>
      <c r="C80" s="16"/>
    </row>
    <row r="81" spans="2:3" ht="16.5" hidden="1" customHeight="1" x14ac:dyDescent="0.25">
      <c r="B81" s="16"/>
      <c r="C81" s="16"/>
    </row>
    <row r="82" spans="2:3" ht="16.5" hidden="1" customHeight="1" x14ac:dyDescent="0.25">
      <c r="B82" s="16"/>
      <c r="C82" s="16"/>
    </row>
    <row r="83" spans="2:3" ht="16.5" hidden="1" customHeight="1" x14ac:dyDescent="0.25">
      <c r="B83" s="16"/>
      <c r="C83" s="16"/>
    </row>
    <row r="84" spans="2:3" ht="16.5" hidden="1" customHeight="1" x14ac:dyDescent="0.25">
      <c r="B84" s="16"/>
      <c r="C84" s="16"/>
    </row>
    <row r="85" spans="2:3" ht="16.5" hidden="1" customHeight="1" x14ac:dyDescent="0.25">
      <c r="B85" s="16"/>
      <c r="C85" s="16"/>
    </row>
    <row r="86" spans="2:3" ht="16.5" hidden="1" customHeight="1" x14ac:dyDescent="0.25">
      <c r="B86" s="16"/>
      <c r="C86" s="16"/>
    </row>
    <row r="87" spans="2:3" ht="16.5" hidden="1" customHeight="1" x14ac:dyDescent="0.25">
      <c r="B87" s="16"/>
      <c r="C87" s="16"/>
    </row>
    <row r="88" spans="2:3" ht="16.5" hidden="1" customHeight="1" x14ac:dyDescent="0.25">
      <c r="B88" s="16"/>
      <c r="C88" s="16"/>
    </row>
    <row r="89" spans="2:3" ht="16.5" hidden="1" customHeight="1" x14ac:dyDescent="0.25">
      <c r="B89" s="16"/>
      <c r="C89" s="16"/>
    </row>
    <row r="90" spans="2:3" ht="16.5" hidden="1" customHeight="1" x14ac:dyDescent="0.25">
      <c r="B90" s="16"/>
      <c r="C90" s="16"/>
    </row>
    <row r="91" spans="2:3" ht="16.5" hidden="1" customHeight="1" x14ac:dyDescent="0.25">
      <c r="B91" s="16"/>
      <c r="C91" s="16"/>
    </row>
    <row r="92" spans="2:3" ht="16.5" hidden="1" customHeight="1" x14ac:dyDescent="0.25">
      <c r="B92" s="16"/>
      <c r="C92" s="16"/>
    </row>
    <row r="93" spans="2:3" ht="16.5" hidden="1" customHeight="1" x14ac:dyDescent="0.25">
      <c r="B93" s="16"/>
      <c r="C93" s="16"/>
    </row>
    <row r="94" spans="2:3" ht="16.5" hidden="1" customHeight="1" x14ac:dyDescent="0.25">
      <c r="B94" s="16"/>
      <c r="C94" s="16"/>
    </row>
    <row r="95" spans="2:3" ht="16.5" hidden="1" customHeight="1" x14ac:dyDescent="0.25">
      <c r="B95" s="16"/>
      <c r="C95" s="16"/>
    </row>
    <row r="96" spans="2:3" ht="16.5" hidden="1" customHeight="1" x14ac:dyDescent="0.25">
      <c r="B96" s="16"/>
      <c r="C96" s="16"/>
    </row>
    <row r="97" spans="2:3" ht="16.5" hidden="1" customHeight="1" x14ac:dyDescent="0.25">
      <c r="B97" s="16"/>
      <c r="C97" s="16"/>
    </row>
    <row r="98" spans="2:3" ht="16.5" hidden="1" customHeight="1" x14ac:dyDescent="0.25">
      <c r="B98" s="16"/>
      <c r="C98" s="16"/>
    </row>
    <row r="99" spans="2:3" ht="16.5" hidden="1" customHeight="1" x14ac:dyDescent="0.25">
      <c r="B99" s="16"/>
      <c r="C99" s="16"/>
    </row>
    <row r="100" spans="2:3" ht="16.5" hidden="1" customHeight="1" x14ac:dyDescent="0.25">
      <c r="B100" s="16"/>
      <c r="C100" s="16"/>
    </row>
    <row r="101" spans="2:3" ht="16.5" hidden="1" customHeight="1" x14ac:dyDescent="0.25">
      <c r="B101" s="16"/>
      <c r="C101" s="16"/>
    </row>
    <row r="102" spans="2:3" ht="16.5" hidden="1" customHeight="1" x14ac:dyDescent="0.25">
      <c r="B102" s="16"/>
      <c r="C102" s="16"/>
    </row>
    <row r="103" spans="2:3" ht="16.5" hidden="1" customHeight="1" x14ac:dyDescent="0.25">
      <c r="B103" s="16"/>
      <c r="C103" s="16"/>
    </row>
    <row r="104" spans="2:3" ht="16.5" hidden="1" customHeight="1" x14ac:dyDescent="0.25">
      <c r="B104" s="16"/>
      <c r="C104" s="16"/>
    </row>
    <row r="105" spans="2:3" ht="16.5" hidden="1" customHeight="1" x14ac:dyDescent="0.25">
      <c r="B105" s="16"/>
      <c r="C105" s="16"/>
    </row>
    <row r="106" spans="2:3" ht="16.5" hidden="1" customHeight="1" x14ac:dyDescent="0.25">
      <c r="B106" s="16"/>
      <c r="C106" s="16"/>
    </row>
    <row r="107" spans="2:3" ht="16.5" hidden="1" customHeight="1" x14ac:dyDescent="0.25">
      <c r="B107" s="16"/>
      <c r="C107" s="16"/>
    </row>
    <row r="108" spans="2:3" ht="16.5" hidden="1" customHeight="1" x14ac:dyDescent="0.25">
      <c r="B108" s="16"/>
      <c r="C108" s="16"/>
    </row>
    <row r="109" spans="2:3" ht="16.5" hidden="1" customHeight="1" x14ac:dyDescent="0.25">
      <c r="B109" s="16"/>
      <c r="C109" s="16"/>
    </row>
    <row r="110" spans="2:3" ht="16.5" hidden="1" customHeight="1" x14ac:dyDescent="0.25">
      <c r="B110" s="16"/>
      <c r="C110" s="16"/>
    </row>
    <row r="111" spans="2:3" ht="16.5" hidden="1" customHeight="1" x14ac:dyDescent="0.25">
      <c r="B111" s="16"/>
      <c r="C111" s="16"/>
    </row>
    <row r="112" spans="2:3" ht="16.5" hidden="1" customHeight="1" x14ac:dyDescent="0.25">
      <c r="B112" s="16"/>
      <c r="C112" s="16"/>
    </row>
    <row r="113" spans="2:3" ht="16.5" hidden="1" customHeight="1" x14ac:dyDescent="0.25">
      <c r="B113" s="16"/>
      <c r="C113" s="16"/>
    </row>
    <row r="114" spans="2:3" ht="16.5" hidden="1" customHeight="1" x14ac:dyDescent="0.25">
      <c r="B114" s="16"/>
      <c r="C114" s="16"/>
    </row>
    <row r="115" spans="2:3" ht="16.5" hidden="1" customHeight="1" x14ac:dyDescent="0.25">
      <c r="B115" s="16"/>
      <c r="C115" s="16"/>
    </row>
    <row r="116" spans="2:3" ht="16.5" hidden="1" customHeight="1" x14ac:dyDescent="0.25">
      <c r="B116" s="16"/>
      <c r="C116" s="16"/>
    </row>
    <row r="117" spans="2:3" ht="16.5" hidden="1" customHeight="1" x14ac:dyDescent="0.25">
      <c r="B117" s="16"/>
      <c r="C117" s="16"/>
    </row>
    <row r="118" spans="2:3" ht="16.5" hidden="1" customHeight="1" x14ac:dyDescent="0.25">
      <c r="B118" s="16"/>
      <c r="C118" s="16"/>
    </row>
    <row r="119" spans="2:3" ht="16.5" hidden="1" customHeight="1" x14ac:dyDescent="0.25">
      <c r="B119" s="16"/>
      <c r="C119" s="16"/>
    </row>
    <row r="120" spans="2:3" ht="16.5" hidden="1" customHeight="1" x14ac:dyDescent="0.25">
      <c r="B120" s="16"/>
      <c r="C120" s="16"/>
    </row>
    <row r="121" spans="2:3" ht="16.5" hidden="1" customHeight="1" x14ac:dyDescent="0.25">
      <c r="B121" s="16"/>
      <c r="C121" s="16"/>
    </row>
    <row r="122" spans="2:3" ht="16.5" hidden="1" customHeight="1" x14ac:dyDescent="0.25">
      <c r="B122" s="16"/>
      <c r="C122" s="16"/>
    </row>
    <row r="123" spans="2:3" ht="16.5" hidden="1" customHeight="1" x14ac:dyDescent="0.25">
      <c r="B123" s="16"/>
      <c r="C123" s="16"/>
    </row>
    <row r="124" spans="2:3" ht="16.5" hidden="1" customHeight="1" x14ac:dyDescent="0.25">
      <c r="B124" s="16"/>
      <c r="C124" s="16"/>
    </row>
    <row r="125" spans="2:3" ht="16.5" hidden="1" customHeight="1" x14ac:dyDescent="0.25">
      <c r="B125" s="16"/>
      <c r="C125" s="16"/>
    </row>
    <row r="126" spans="2:3" ht="16.5" hidden="1" customHeight="1" x14ac:dyDescent="0.25">
      <c r="B126" s="16"/>
      <c r="C126" s="16"/>
    </row>
    <row r="127" spans="2:3" ht="16.5" hidden="1" customHeight="1" x14ac:dyDescent="0.25">
      <c r="B127" s="16"/>
      <c r="C127" s="16"/>
    </row>
    <row r="128" spans="2:3" ht="16.5" hidden="1" customHeight="1" x14ac:dyDescent="0.25">
      <c r="B128" s="16"/>
      <c r="C128" s="16"/>
    </row>
    <row r="129" spans="2:3" ht="16.5" hidden="1" customHeight="1" x14ac:dyDescent="0.25">
      <c r="B129" s="16"/>
      <c r="C129" s="16"/>
    </row>
    <row r="130" spans="2:3" ht="16.5" hidden="1" customHeight="1" x14ac:dyDescent="0.25">
      <c r="B130" s="16"/>
      <c r="C130" s="16"/>
    </row>
    <row r="131" spans="2:3" ht="16.5" hidden="1" customHeight="1" x14ac:dyDescent="0.25">
      <c r="B131" s="16"/>
      <c r="C131" s="16"/>
    </row>
    <row r="132" spans="2:3" ht="16.5" hidden="1" customHeight="1" x14ac:dyDescent="0.25">
      <c r="B132" s="16"/>
      <c r="C132" s="16"/>
    </row>
    <row r="133" spans="2:3" ht="16.5" hidden="1" customHeight="1" x14ac:dyDescent="0.25">
      <c r="B133" s="16"/>
      <c r="C133" s="16"/>
    </row>
    <row r="134" spans="2:3" ht="16.5" hidden="1" customHeight="1" x14ac:dyDescent="0.25">
      <c r="B134" s="16"/>
      <c r="C134" s="16"/>
    </row>
    <row r="135" spans="2:3" ht="16.5" hidden="1" customHeight="1" x14ac:dyDescent="0.25">
      <c r="B135" s="16"/>
      <c r="C135" s="16"/>
    </row>
    <row r="136" spans="2:3" ht="16.5" hidden="1" customHeight="1" x14ac:dyDescent="0.25">
      <c r="B136" s="16"/>
      <c r="C136" s="16"/>
    </row>
    <row r="137" spans="2:3" ht="16.5" hidden="1" customHeight="1" x14ac:dyDescent="0.25">
      <c r="B137" s="16"/>
      <c r="C137" s="16"/>
    </row>
    <row r="138" spans="2:3" ht="16.5" hidden="1" customHeight="1" x14ac:dyDescent="0.25">
      <c r="B138" s="16"/>
      <c r="C138" s="16"/>
    </row>
    <row r="139" spans="2:3" ht="16.5" hidden="1" customHeight="1" x14ac:dyDescent="0.25">
      <c r="B139" s="16"/>
      <c r="C139" s="16"/>
    </row>
    <row r="140" spans="2:3" ht="16.5" hidden="1" customHeight="1" x14ac:dyDescent="0.25">
      <c r="B140" s="16"/>
      <c r="C140" s="16"/>
    </row>
    <row r="141" spans="2:3" ht="16.5" hidden="1" customHeight="1" x14ac:dyDescent="0.25">
      <c r="B141" s="16"/>
      <c r="C141" s="16"/>
    </row>
    <row r="142" spans="2:3" ht="16.5" hidden="1" customHeight="1" x14ac:dyDescent="0.25">
      <c r="B142" s="16"/>
      <c r="C142" s="16"/>
    </row>
    <row r="143" spans="2:3" ht="16.5" hidden="1" customHeight="1" x14ac:dyDescent="0.25">
      <c r="B143" s="16"/>
      <c r="C143" s="16"/>
    </row>
    <row r="144" spans="2:3" ht="16.5" hidden="1" customHeight="1" x14ac:dyDescent="0.25">
      <c r="B144" s="16"/>
      <c r="C144" s="16"/>
    </row>
    <row r="145" spans="2:3" ht="16.5" hidden="1" customHeight="1" x14ac:dyDescent="0.25">
      <c r="B145" s="16"/>
      <c r="C145" s="16"/>
    </row>
    <row r="146" spans="2:3" ht="16.5" hidden="1" customHeight="1" x14ac:dyDescent="0.25">
      <c r="B146" s="16"/>
      <c r="C146" s="16"/>
    </row>
    <row r="147" spans="2:3" ht="16.5" hidden="1" customHeight="1" x14ac:dyDescent="0.25">
      <c r="B147" s="16"/>
      <c r="C147" s="16"/>
    </row>
    <row r="148" spans="2:3" ht="16.5" hidden="1" customHeight="1" x14ac:dyDescent="0.25">
      <c r="B148" s="16"/>
      <c r="C148" s="16"/>
    </row>
    <row r="149" spans="2:3" ht="16.5" hidden="1" customHeight="1" x14ac:dyDescent="0.25">
      <c r="B149" s="16"/>
      <c r="C149" s="16"/>
    </row>
    <row r="150" spans="2:3" ht="16.5" hidden="1" customHeight="1" x14ac:dyDescent="0.25">
      <c r="B150" s="16"/>
      <c r="C150" s="16"/>
    </row>
    <row r="151" spans="2:3" ht="16.5" hidden="1" customHeight="1" x14ac:dyDescent="0.25">
      <c r="B151" s="16"/>
      <c r="C151" s="16"/>
    </row>
    <row r="152" spans="2:3" ht="16.5" hidden="1" customHeight="1" x14ac:dyDescent="0.25">
      <c r="B152" s="16"/>
      <c r="C152" s="16"/>
    </row>
    <row r="153" spans="2:3" ht="16.5" hidden="1" customHeight="1" x14ac:dyDescent="0.25">
      <c r="B153" s="16"/>
      <c r="C153" s="16"/>
    </row>
    <row r="154" spans="2:3" ht="16.5" hidden="1" customHeight="1" x14ac:dyDescent="0.25">
      <c r="B154" s="16"/>
      <c r="C154" s="16"/>
    </row>
    <row r="155" spans="2:3" ht="16.5" hidden="1" customHeight="1" x14ac:dyDescent="0.25">
      <c r="B155" s="16"/>
      <c r="C155" s="16"/>
    </row>
    <row r="156" spans="2:3" ht="16.5" hidden="1" customHeight="1" x14ac:dyDescent="0.25">
      <c r="B156" s="16"/>
      <c r="C156" s="16"/>
    </row>
    <row r="157" spans="2:3" ht="16.5" hidden="1" customHeight="1" x14ac:dyDescent="0.25">
      <c r="B157" s="16"/>
      <c r="C157" s="16"/>
    </row>
    <row r="158" spans="2:3" ht="16.5" hidden="1" customHeight="1" x14ac:dyDescent="0.25">
      <c r="B158" s="16"/>
      <c r="C158" s="16"/>
    </row>
    <row r="159" spans="2:3" ht="16.5" hidden="1" customHeight="1" x14ac:dyDescent="0.25">
      <c r="B159" s="16"/>
      <c r="C159" s="16"/>
    </row>
    <row r="160" spans="2:3" ht="16.5" hidden="1" customHeight="1" x14ac:dyDescent="0.25">
      <c r="B160" s="16"/>
      <c r="C160" s="16"/>
    </row>
    <row r="161" spans="2:3" ht="16.5" hidden="1" customHeight="1" x14ac:dyDescent="0.25">
      <c r="B161" s="16"/>
      <c r="C161" s="16"/>
    </row>
    <row r="162" spans="2:3" ht="16.5" hidden="1" customHeight="1" x14ac:dyDescent="0.25">
      <c r="B162" s="16"/>
      <c r="C162" s="16"/>
    </row>
    <row r="163" spans="2:3" ht="16.5" hidden="1" customHeight="1" x14ac:dyDescent="0.25">
      <c r="B163" s="16"/>
      <c r="C163" s="16"/>
    </row>
    <row r="164" spans="2:3" ht="16.5" hidden="1" customHeight="1" x14ac:dyDescent="0.25">
      <c r="B164" s="16"/>
      <c r="C164" s="16"/>
    </row>
    <row r="165" spans="2:3" ht="16.5" hidden="1" customHeight="1" x14ac:dyDescent="0.25">
      <c r="B165" s="16"/>
      <c r="C165" s="16"/>
    </row>
    <row r="166" spans="2:3" ht="16.5" hidden="1" customHeight="1" x14ac:dyDescent="0.25">
      <c r="B166" s="16"/>
      <c r="C166" s="16"/>
    </row>
    <row r="167" spans="2:3" ht="16.5" hidden="1" customHeight="1" x14ac:dyDescent="0.25">
      <c r="B167" s="16"/>
      <c r="C167" s="16"/>
    </row>
    <row r="168" spans="2:3" ht="16.5" hidden="1" customHeight="1" x14ac:dyDescent="0.25">
      <c r="B168" s="16"/>
      <c r="C168" s="16"/>
    </row>
    <row r="169" spans="2:3" ht="16.5" hidden="1" customHeight="1" x14ac:dyDescent="0.25">
      <c r="B169" s="16"/>
      <c r="C169" s="16"/>
    </row>
    <row r="170" spans="2:3" ht="16.5" hidden="1" customHeight="1" x14ac:dyDescent="0.25">
      <c r="B170" s="16"/>
      <c r="C170" s="16"/>
    </row>
    <row r="171" spans="2:3" ht="16.5" hidden="1" customHeight="1" x14ac:dyDescent="0.25">
      <c r="B171" s="16"/>
      <c r="C171" s="16"/>
    </row>
    <row r="172" spans="2:3" ht="16.5" hidden="1" customHeight="1" x14ac:dyDescent="0.25">
      <c r="B172" s="16"/>
      <c r="C172" s="16"/>
    </row>
    <row r="173" spans="2:3" ht="16.5" hidden="1" customHeight="1" x14ac:dyDescent="0.25">
      <c r="B173" s="16"/>
      <c r="C173" s="16"/>
    </row>
    <row r="174" spans="2:3" ht="16.5" hidden="1" customHeight="1" x14ac:dyDescent="0.25">
      <c r="B174" s="16"/>
      <c r="C174" s="16"/>
    </row>
    <row r="175" spans="2:3" ht="16.5" hidden="1" customHeight="1" x14ac:dyDescent="0.25">
      <c r="B175" s="16"/>
      <c r="C175" s="16"/>
    </row>
    <row r="176" spans="2:3" ht="16.5" hidden="1" customHeight="1" x14ac:dyDescent="0.25">
      <c r="B176" s="16"/>
      <c r="C176" s="16"/>
    </row>
    <row r="177" spans="2:3" ht="16.5" hidden="1" customHeight="1" x14ac:dyDescent="0.25">
      <c r="B177" s="16"/>
      <c r="C177" s="16"/>
    </row>
    <row r="178" spans="2:3" ht="16.5" hidden="1" customHeight="1" x14ac:dyDescent="0.25">
      <c r="B178" s="16"/>
      <c r="C178" s="16"/>
    </row>
    <row r="179" spans="2:3" ht="16.5" hidden="1" customHeight="1" x14ac:dyDescent="0.25">
      <c r="B179" s="16"/>
      <c r="C179" s="16"/>
    </row>
    <row r="180" spans="2:3" ht="16.5" hidden="1" customHeight="1" x14ac:dyDescent="0.25">
      <c r="B180" s="16"/>
      <c r="C180" s="16"/>
    </row>
    <row r="181" spans="2:3" ht="16.5" hidden="1" customHeight="1" x14ac:dyDescent="0.25">
      <c r="B181" s="16"/>
      <c r="C181" s="16"/>
    </row>
    <row r="182" spans="2:3" ht="16.5" hidden="1" customHeight="1" x14ac:dyDescent="0.25">
      <c r="B182" s="16"/>
      <c r="C182" s="16"/>
    </row>
    <row r="183" spans="2:3" ht="16.5" hidden="1" customHeight="1" x14ac:dyDescent="0.25">
      <c r="B183" s="16"/>
      <c r="C183" s="16"/>
    </row>
    <row r="184" spans="2:3" ht="16.5" hidden="1" customHeight="1" x14ac:dyDescent="0.25">
      <c r="B184" s="16"/>
      <c r="C184" s="16"/>
    </row>
    <row r="185" spans="2:3" ht="16.5" hidden="1" customHeight="1" x14ac:dyDescent="0.25">
      <c r="B185" s="16"/>
      <c r="C185" s="16"/>
    </row>
    <row r="186" spans="2:3" ht="16.5" hidden="1" customHeight="1" x14ac:dyDescent="0.25">
      <c r="B186" s="16"/>
      <c r="C186" s="16"/>
    </row>
    <row r="187" spans="2:3" ht="16.5" hidden="1" customHeight="1" x14ac:dyDescent="0.25">
      <c r="B187" s="16"/>
      <c r="C187" s="16"/>
    </row>
    <row r="188" spans="2:3" ht="16.5" hidden="1" customHeight="1" x14ac:dyDescent="0.25">
      <c r="B188" s="16"/>
      <c r="C188" s="16"/>
    </row>
    <row r="189" spans="2:3" ht="16.5" hidden="1" customHeight="1" x14ac:dyDescent="0.25">
      <c r="B189" s="16"/>
      <c r="C189" s="16"/>
    </row>
    <row r="190" spans="2:3" ht="16.5" hidden="1" customHeight="1" x14ac:dyDescent="0.25">
      <c r="B190" s="16"/>
      <c r="C190" s="16"/>
    </row>
    <row r="191" spans="2:3" ht="16.5" hidden="1" customHeight="1" x14ac:dyDescent="0.25">
      <c r="B191" s="16"/>
      <c r="C191" s="16"/>
    </row>
    <row r="192" spans="2:3" ht="16.5" hidden="1" customHeight="1" x14ac:dyDescent="0.25">
      <c r="B192" s="16"/>
      <c r="C192" s="16"/>
    </row>
    <row r="193" spans="2:3" ht="16.5" hidden="1" customHeight="1" x14ac:dyDescent="0.25">
      <c r="B193" s="16"/>
      <c r="C193" s="16"/>
    </row>
    <row r="194" spans="2:3" ht="16.5" hidden="1" customHeight="1" x14ac:dyDescent="0.25">
      <c r="B194" s="16"/>
      <c r="C194" s="16"/>
    </row>
    <row r="195" spans="2:3" ht="16.5" hidden="1" customHeight="1" x14ac:dyDescent="0.25">
      <c r="B195" s="16"/>
      <c r="C195" s="16"/>
    </row>
    <row r="196" spans="2:3" ht="16.5" hidden="1" customHeight="1" x14ac:dyDescent="0.25">
      <c r="B196" s="16"/>
      <c r="C196" s="16"/>
    </row>
    <row r="197" spans="2:3" ht="16.5" hidden="1" customHeight="1" x14ac:dyDescent="0.25">
      <c r="B197" s="16"/>
      <c r="C197" s="16"/>
    </row>
    <row r="198" spans="2:3" ht="16.5" hidden="1" customHeight="1" x14ac:dyDescent="0.25">
      <c r="B198" s="16"/>
      <c r="C198" s="16"/>
    </row>
    <row r="199" spans="2:3" ht="16.5" hidden="1" customHeight="1" x14ac:dyDescent="0.25">
      <c r="B199" s="16"/>
      <c r="C199" s="16"/>
    </row>
    <row r="200" spans="2:3" ht="16.5" hidden="1" customHeight="1" x14ac:dyDescent="0.25">
      <c r="B200" s="16"/>
      <c r="C200" s="16"/>
    </row>
    <row r="201" spans="2:3" ht="16.5" hidden="1" customHeight="1" x14ac:dyDescent="0.25">
      <c r="B201" s="16"/>
      <c r="C201" s="16"/>
    </row>
    <row r="202" spans="2:3" ht="16.5" hidden="1" customHeight="1" x14ac:dyDescent="0.25">
      <c r="B202" s="16"/>
      <c r="C202" s="16"/>
    </row>
    <row r="203" spans="2:3" ht="16.5" hidden="1" customHeight="1" x14ac:dyDescent="0.25">
      <c r="B203" s="16"/>
      <c r="C203" s="16"/>
    </row>
    <row r="204" spans="2:3" ht="16.5" hidden="1" customHeight="1" x14ac:dyDescent="0.25">
      <c r="B204" s="16"/>
      <c r="C204" s="16"/>
    </row>
    <row r="205" spans="2:3" ht="16.5" hidden="1" customHeight="1" x14ac:dyDescent="0.25">
      <c r="B205" s="16"/>
      <c r="C205" s="16"/>
    </row>
    <row r="206" spans="2:3" ht="16.5" hidden="1" customHeight="1" x14ac:dyDescent="0.25">
      <c r="B206" s="16"/>
      <c r="C206" s="16"/>
    </row>
    <row r="207" spans="2:3" ht="16.5" hidden="1" customHeight="1" x14ac:dyDescent="0.25">
      <c r="B207" s="16"/>
      <c r="C207" s="16"/>
    </row>
    <row r="208" spans="2:3" ht="16.5" hidden="1" customHeight="1" x14ac:dyDescent="0.25">
      <c r="B208" s="16"/>
      <c r="C208" s="16"/>
    </row>
    <row r="209" spans="2:3" ht="16.5" hidden="1" customHeight="1" x14ac:dyDescent="0.25">
      <c r="B209" s="16"/>
      <c r="C209" s="16"/>
    </row>
    <row r="210" spans="2:3" ht="16.5" hidden="1" customHeight="1" x14ac:dyDescent="0.25">
      <c r="B210" s="16"/>
      <c r="C210" s="16"/>
    </row>
    <row r="211" spans="2:3" ht="16.5" hidden="1" customHeight="1" x14ac:dyDescent="0.25">
      <c r="B211" s="16"/>
      <c r="C211" s="16"/>
    </row>
    <row r="212" spans="2:3" ht="16.5" hidden="1" customHeight="1" x14ac:dyDescent="0.25">
      <c r="B212" s="16"/>
      <c r="C212" s="16"/>
    </row>
    <row r="213" spans="2:3" ht="16.5" hidden="1" customHeight="1" x14ac:dyDescent="0.25">
      <c r="B213" s="16"/>
      <c r="C213" s="16"/>
    </row>
    <row r="214" spans="2:3" ht="16.5" hidden="1" customHeight="1" x14ac:dyDescent="0.25">
      <c r="B214" s="16"/>
      <c r="C214" s="16"/>
    </row>
    <row r="215" spans="2:3" ht="16.5" hidden="1" customHeight="1" x14ac:dyDescent="0.25">
      <c r="B215" s="16"/>
      <c r="C215" s="16"/>
    </row>
    <row r="216" spans="2:3" ht="16.5" hidden="1" customHeight="1" x14ac:dyDescent="0.25">
      <c r="B216" s="16"/>
      <c r="C216" s="16"/>
    </row>
    <row r="217" spans="2:3" ht="16.5" hidden="1" customHeight="1" x14ac:dyDescent="0.25">
      <c r="B217" s="16"/>
      <c r="C217" s="16"/>
    </row>
    <row r="218" spans="2:3" ht="16.5" hidden="1" customHeight="1" x14ac:dyDescent="0.25">
      <c r="B218" s="16"/>
      <c r="C218" s="16"/>
    </row>
    <row r="219" spans="2:3" ht="16.5" hidden="1" customHeight="1" x14ac:dyDescent="0.25">
      <c r="B219" s="16"/>
      <c r="C219" s="16"/>
    </row>
    <row r="220" spans="2:3" ht="16.5" hidden="1" customHeight="1" x14ac:dyDescent="0.25">
      <c r="B220" s="16"/>
      <c r="C220" s="16"/>
    </row>
    <row r="221" spans="2:3" ht="16.5" hidden="1" customHeight="1" x14ac:dyDescent="0.25">
      <c r="B221" s="16"/>
      <c r="C221" s="16"/>
    </row>
    <row r="222" spans="2:3" ht="16.5" hidden="1" customHeight="1" x14ac:dyDescent="0.25">
      <c r="B222" s="16"/>
      <c r="C222" s="16"/>
    </row>
    <row r="223" spans="2:3" ht="16.5" hidden="1" customHeight="1" x14ac:dyDescent="0.25">
      <c r="B223" s="16"/>
      <c r="C223" s="16"/>
    </row>
    <row r="224" spans="2:3" ht="16.5" hidden="1" customHeight="1" x14ac:dyDescent="0.25">
      <c r="B224" s="16"/>
      <c r="C224" s="16"/>
    </row>
    <row r="225" spans="2:3" ht="16.5" hidden="1" customHeight="1" x14ac:dyDescent="0.25">
      <c r="B225" s="16"/>
      <c r="C225" s="16"/>
    </row>
    <row r="226" spans="2:3" ht="16.5" hidden="1" customHeight="1" x14ac:dyDescent="0.25">
      <c r="B226" s="16"/>
      <c r="C226" s="16"/>
    </row>
    <row r="227" spans="2:3" ht="16.5" hidden="1" customHeight="1" x14ac:dyDescent="0.25">
      <c r="B227" s="16"/>
      <c r="C227" s="16"/>
    </row>
    <row r="228" spans="2:3" ht="16.5" hidden="1" customHeight="1" x14ac:dyDescent="0.25">
      <c r="B228" s="16"/>
      <c r="C228" s="16"/>
    </row>
    <row r="229" spans="2:3" ht="16.5" hidden="1" customHeight="1" x14ac:dyDescent="0.25">
      <c r="B229" s="16"/>
      <c r="C229" s="16"/>
    </row>
    <row r="230" spans="2:3" ht="16.5" hidden="1" customHeight="1" x14ac:dyDescent="0.25">
      <c r="B230" s="16"/>
      <c r="C230" s="16"/>
    </row>
    <row r="231" spans="2:3" ht="16.5" hidden="1" customHeight="1" x14ac:dyDescent="0.25">
      <c r="B231" s="16"/>
      <c r="C231" s="16"/>
    </row>
    <row r="232" spans="2:3" ht="16.5" hidden="1" customHeight="1" x14ac:dyDescent="0.25">
      <c r="B232" s="16"/>
      <c r="C232" s="16"/>
    </row>
    <row r="233" spans="2:3" ht="16.5" hidden="1" customHeight="1" x14ac:dyDescent="0.25">
      <c r="B233" s="16"/>
      <c r="C233" s="16"/>
    </row>
    <row r="234" spans="2:3" ht="16.5" hidden="1" customHeight="1" x14ac:dyDescent="0.25">
      <c r="B234" s="16"/>
      <c r="C234" s="16"/>
    </row>
    <row r="235" spans="2:3" ht="16.5" hidden="1" customHeight="1" x14ac:dyDescent="0.25">
      <c r="B235" s="16"/>
      <c r="C235" s="16"/>
    </row>
    <row r="236" spans="2:3" ht="16.5" hidden="1" customHeight="1" x14ac:dyDescent="0.25">
      <c r="B236" s="16"/>
      <c r="C236" s="16"/>
    </row>
    <row r="237" spans="2:3" ht="16.5" hidden="1" customHeight="1" x14ac:dyDescent="0.25">
      <c r="B237" s="16"/>
      <c r="C237" s="16"/>
    </row>
    <row r="238" spans="2:3" ht="16.5" hidden="1" customHeight="1" x14ac:dyDescent="0.25">
      <c r="B238" s="16"/>
      <c r="C238" s="16"/>
    </row>
    <row r="239" spans="2:3" ht="16.5" hidden="1" customHeight="1" x14ac:dyDescent="0.25">
      <c r="B239" s="16"/>
      <c r="C239" s="16"/>
    </row>
    <row r="240" spans="2:3" ht="16.5" hidden="1" customHeight="1" x14ac:dyDescent="0.25">
      <c r="B240" s="16"/>
      <c r="C240" s="16"/>
    </row>
    <row r="241" spans="2:3" ht="16.5" hidden="1" customHeight="1" x14ac:dyDescent="0.25">
      <c r="B241" s="16"/>
      <c r="C241" s="16"/>
    </row>
    <row r="242" spans="2:3" ht="16.5" hidden="1" customHeight="1" x14ac:dyDescent="0.25">
      <c r="B242" s="16"/>
      <c r="C242" s="16"/>
    </row>
    <row r="243" spans="2:3" ht="16.5" hidden="1" customHeight="1" x14ac:dyDescent="0.25">
      <c r="B243" s="16"/>
      <c r="C243" s="16"/>
    </row>
    <row r="244" spans="2:3" ht="16.5" hidden="1" customHeight="1" x14ac:dyDescent="0.25">
      <c r="B244" s="16"/>
      <c r="C244" s="16"/>
    </row>
    <row r="245" spans="2:3" ht="16.5" hidden="1" customHeight="1" x14ac:dyDescent="0.25">
      <c r="B245" s="16"/>
      <c r="C245" s="16"/>
    </row>
    <row r="246" spans="2:3" ht="16.5" hidden="1" customHeight="1" x14ac:dyDescent="0.25">
      <c r="B246" s="16"/>
      <c r="C246" s="16"/>
    </row>
    <row r="247" spans="2:3" ht="16.5" hidden="1" customHeight="1" x14ac:dyDescent="0.25">
      <c r="B247" s="16"/>
      <c r="C247" s="16"/>
    </row>
    <row r="248" spans="2:3" ht="16.5" hidden="1" customHeight="1" x14ac:dyDescent="0.25">
      <c r="B248" s="16"/>
      <c r="C248" s="16"/>
    </row>
    <row r="249" spans="2:3" ht="16.5" hidden="1" customHeight="1" x14ac:dyDescent="0.25">
      <c r="B249" s="16"/>
      <c r="C249" s="16"/>
    </row>
    <row r="250" spans="2:3" ht="16.5" hidden="1" customHeight="1" x14ac:dyDescent="0.25">
      <c r="B250" s="16"/>
      <c r="C250" s="16"/>
    </row>
    <row r="251" spans="2:3" ht="16.5" hidden="1" customHeight="1" x14ac:dyDescent="0.25">
      <c r="B251" s="16"/>
      <c r="C251" s="16"/>
    </row>
    <row r="252" spans="2:3" ht="16.5" hidden="1" customHeight="1" x14ac:dyDescent="0.25">
      <c r="B252" s="16"/>
      <c r="C252" s="16"/>
    </row>
    <row r="253" spans="2:3" ht="16.5" hidden="1" customHeight="1" x14ac:dyDescent="0.25">
      <c r="B253" s="16"/>
      <c r="C253" s="16"/>
    </row>
    <row r="254" spans="2:3" ht="16.5" hidden="1" customHeight="1" x14ac:dyDescent="0.25">
      <c r="B254" s="16"/>
      <c r="C254" s="16"/>
    </row>
    <row r="255" spans="2:3" ht="16.5" hidden="1" customHeight="1" x14ac:dyDescent="0.25">
      <c r="B255" s="16"/>
      <c r="C255" s="16"/>
    </row>
    <row r="256" spans="2:3" ht="16.5" hidden="1" customHeight="1" x14ac:dyDescent="0.25">
      <c r="B256" s="16"/>
      <c r="C256" s="16"/>
    </row>
    <row r="257" spans="2:3" ht="16.5" hidden="1" customHeight="1" x14ac:dyDescent="0.25">
      <c r="B257" s="16"/>
      <c r="C257" s="16"/>
    </row>
    <row r="258" spans="2:3" ht="16.5" hidden="1" customHeight="1" x14ac:dyDescent="0.25">
      <c r="B258" s="16"/>
      <c r="C258" s="16"/>
    </row>
    <row r="259" spans="2:3" ht="16.5" hidden="1" customHeight="1" x14ac:dyDescent="0.25">
      <c r="B259" s="16"/>
      <c r="C259" s="16"/>
    </row>
    <row r="260" spans="2:3" ht="16.5" hidden="1" customHeight="1" x14ac:dyDescent="0.25">
      <c r="B260" s="16"/>
      <c r="C260" s="16"/>
    </row>
    <row r="261" spans="2:3" ht="16.5" hidden="1" customHeight="1" x14ac:dyDescent="0.25">
      <c r="B261" s="16"/>
      <c r="C261" s="16"/>
    </row>
    <row r="262" spans="2:3" ht="16.5" hidden="1" customHeight="1" x14ac:dyDescent="0.25">
      <c r="B262" s="16"/>
      <c r="C262" s="16"/>
    </row>
    <row r="263" spans="2:3" ht="16.5" hidden="1" customHeight="1" x14ac:dyDescent="0.25">
      <c r="B263" s="16"/>
      <c r="C263" s="16"/>
    </row>
    <row r="264" spans="2:3" ht="16.5" hidden="1" customHeight="1" x14ac:dyDescent="0.25">
      <c r="B264" s="16"/>
      <c r="C264" s="16"/>
    </row>
    <row r="265" spans="2:3" ht="16.5" hidden="1" customHeight="1" x14ac:dyDescent="0.25">
      <c r="B265" s="16"/>
      <c r="C265" s="16"/>
    </row>
    <row r="266" spans="2:3" ht="16.5" hidden="1" customHeight="1" x14ac:dyDescent="0.25">
      <c r="B266" s="16"/>
      <c r="C266" s="16"/>
    </row>
    <row r="267" spans="2:3" ht="16.5" hidden="1" customHeight="1" x14ac:dyDescent="0.25">
      <c r="B267" s="16"/>
      <c r="C267" s="16"/>
    </row>
    <row r="268" spans="2:3" ht="16.5" hidden="1" customHeight="1" x14ac:dyDescent="0.25">
      <c r="B268" s="16"/>
      <c r="C268" s="16"/>
    </row>
    <row r="269" spans="2:3" ht="16.5" hidden="1" customHeight="1" x14ac:dyDescent="0.25">
      <c r="B269" s="16"/>
      <c r="C269" s="16"/>
    </row>
    <row r="270" spans="2:3" ht="16.5" hidden="1" customHeight="1" x14ac:dyDescent="0.25">
      <c r="B270" s="16"/>
      <c r="C270" s="16"/>
    </row>
    <row r="271" spans="2:3" ht="16.5" hidden="1" customHeight="1" x14ac:dyDescent="0.25">
      <c r="B271" s="16"/>
      <c r="C271" s="16"/>
    </row>
    <row r="272" spans="2:3" ht="16.5" hidden="1" customHeight="1" x14ac:dyDescent="0.25">
      <c r="B272" s="16"/>
      <c r="C272" s="16"/>
    </row>
    <row r="273" spans="2:3" ht="16.5" hidden="1" customHeight="1" x14ac:dyDescent="0.25">
      <c r="B273" s="16"/>
      <c r="C273" s="16"/>
    </row>
    <row r="274" spans="2:3" ht="16.5" hidden="1" customHeight="1" x14ac:dyDescent="0.25">
      <c r="B274" s="16"/>
      <c r="C274" s="16"/>
    </row>
    <row r="275" spans="2:3" ht="16.5" hidden="1" customHeight="1" x14ac:dyDescent="0.25">
      <c r="B275" s="16"/>
      <c r="C275" s="16"/>
    </row>
    <row r="276" spans="2:3" ht="16.5" hidden="1" customHeight="1" x14ac:dyDescent="0.25">
      <c r="B276" s="16"/>
      <c r="C276" s="16"/>
    </row>
    <row r="277" spans="2:3" ht="16.5" hidden="1" customHeight="1" x14ac:dyDescent="0.25">
      <c r="B277" s="16"/>
      <c r="C277" s="16"/>
    </row>
    <row r="278" spans="2:3" ht="16.5" hidden="1" customHeight="1" x14ac:dyDescent="0.25">
      <c r="B278" s="16"/>
      <c r="C278" s="16"/>
    </row>
    <row r="279" spans="2:3" ht="16.5" hidden="1" customHeight="1" x14ac:dyDescent="0.25">
      <c r="B279" s="16"/>
      <c r="C279" s="16"/>
    </row>
    <row r="280" spans="2:3" ht="16.5" hidden="1" customHeight="1" x14ac:dyDescent="0.25">
      <c r="B280" s="16"/>
      <c r="C280" s="16"/>
    </row>
    <row r="281" spans="2:3" ht="16.5" hidden="1" customHeight="1" x14ac:dyDescent="0.25">
      <c r="B281" s="16"/>
      <c r="C281" s="16"/>
    </row>
    <row r="282" spans="2:3" ht="16.5" hidden="1" customHeight="1" x14ac:dyDescent="0.25">
      <c r="B282" s="16"/>
      <c r="C282" s="16"/>
    </row>
    <row r="283" spans="2:3" ht="16.5" hidden="1" customHeight="1" x14ac:dyDescent="0.25">
      <c r="B283" s="16"/>
      <c r="C283" s="16"/>
    </row>
    <row r="284" spans="2:3" ht="16.5" hidden="1" customHeight="1" x14ac:dyDescent="0.25">
      <c r="B284" s="16"/>
      <c r="C284" s="16"/>
    </row>
    <row r="285" spans="2:3" ht="16.5" hidden="1" customHeight="1" x14ac:dyDescent="0.25">
      <c r="B285" s="16"/>
      <c r="C285" s="16"/>
    </row>
    <row r="286" spans="2:3" ht="16.5" hidden="1" customHeight="1" x14ac:dyDescent="0.25">
      <c r="B286" s="16"/>
      <c r="C286" s="16"/>
    </row>
    <row r="287" spans="2:3" ht="16.5" hidden="1" customHeight="1" x14ac:dyDescent="0.25">
      <c r="B287" s="16"/>
      <c r="C287" s="16"/>
    </row>
    <row r="288" spans="2:3" ht="16.5" hidden="1" customHeight="1" x14ac:dyDescent="0.25">
      <c r="B288" s="16"/>
      <c r="C288" s="16"/>
    </row>
    <row r="289" spans="2:3" ht="16.5" hidden="1" customHeight="1" x14ac:dyDescent="0.25">
      <c r="B289" s="16"/>
      <c r="C289" s="16"/>
    </row>
    <row r="290" spans="2:3" ht="16.5" hidden="1" customHeight="1" x14ac:dyDescent="0.25">
      <c r="B290" s="16"/>
      <c r="C290" s="16"/>
    </row>
    <row r="291" spans="2:3" ht="16.5" hidden="1" customHeight="1" x14ac:dyDescent="0.25">
      <c r="B291" s="16"/>
      <c r="C291" s="16"/>
    </row>
    <row r="292" spans="2:3" ht="16.5" hidden="1" customHeight="1" x14ac:dyDescent="0.25">
      <c r="B292" s="16"/>
      <c r="C292" s="16"/>
    </row>
    <row r="293" spans="2:3" ht="16.5" hidden="1" customHeight="1" x14ac:dyDescent="0.25">
      <c r="B293" s="16"/>
      <c r="C293" s="16"/>
    </row>
    <row r="294" spans="2:3" ht="16.5" hidden="1" customHeight="1" x14ac:dyDescent="0.25">
      <c r="B294" s="16"/>
      <c r="C294" s="16"/>
    </row>
    <row r="295" spans="2:3" ht="16.5" hidden="1" customHeight="1" x14ac:dyDescent="0.25">
      <c r="B295" s="16"/>
      <c r="C295" s="16"/>
    </row>
    <row r="296" spans="2:3" ht="16.5" hidden="1" customHeight="1" x14ac:dyDescent="0.25">
      <c r="B296" s="16"/>
      <c r="C296" s="16"/>
    </row>
    <row r="297" spans="2:3" ht="16.5" hidden="1" customHeight="1" x14ac:dyDescent="0.25">
      <c r="B297" s="16"/>
      <c r="C297" s="16"/>
    </row>
    <row r="298" spans="2:3" ht="16.5" hidden="1" customHeight="1" x14ac:dyDescent="0.25">
      <c r="B298" s="16"/>
      <c r="C298" s="16"/>
    </row>
    <row r="299" spans="2:3" ht="16.5" hidden="1" customHeight="1" x14ac:dyDescent="0.25">
      <c r="B299" s="16"/>
      <c r="C299" s="16"/>
    </row>
    <row r="300" spans="2:3" ht="16.5" hidden="1" customHeight="1" x14ac:dyDescent="0.25">
      <c r="B300" s="16"/>
      <c r="C300" s="16"/>
    </row>
    <row r="301" spans="2:3" ht="16.5" hidden="1" customHeight="1" x14ac:dyDescent="0.25">
      <c r="B301" s="16"/>
      <c r="C301" s="16"/>
    </row>
    <row r="302" spans="2:3" ht="16.5" hidden="1" customHeight="1" x14ac:dyDescent="0.25">
      <c r="B302" s="16"/>
      <c r="C302" s="16"/>
    </row>
    <row r="303" spans="2:3" ht="16.5" hidden="1" customHeight="1" x14ac:dyDescent="0.25">
      <c r="B303" s="16"/>
      <c r="C303" s="16"/>
    </row>
    <row r="304" spans="2:3" ht="16.5" hidden="1" customHeight="1" x14ac:dyDescent="0.25">
      <c r="B304" s="16"/>
      <c r="C304" s="16"/>
    </row>
    <row r="305" spans="2:3" ht="16.5" hidden="1" customHeight="1" x14ac:dyDescent="0.25">
      <c r="B305" s="16"/>
      <c r="C305" s="16"/>
    </row>
    <row r="306" spans="2:3" ht="16.5" hidden="1" customHeight="1" x14ac:dyDescent="0.25">
      <c r="B306" s="16"/>
      <c r="C306" s="16"/>
    </row>
    <row r="307" spans="2:3" ht="16.5" hidden="1" customHeight="1" x14ac:dyDescent="0.25">
      <c r="B307" s="16"/>
      <c r="C307" s="16"/>
    </row>
    <row r="308" spans="2:3" ht="16.5" hidden="1" customHeight="1" x14ac:dyDescent="0.25">
      <c r="B308" s="16"/>
      <c r="C308" s="16"/>
    </row>
    <row r="309" spans="2:3" ht="16.5" hidden="1" customHeight="1" x14ac:dyDescent="0.25">
      <c r="B309" s="16"/>
      <c r="C309" s="16"/>
    </row>
    <row r="310" spans="2:3" ht="16.5" hidden="1" customHeight="1" x14ac:dyDescent="0.25">
      <c r="B310" s="16"/>
      <c r="C310" s="16"/>
    </row>
    <row r="311" spans="2:3" ht="16.5" hidden="1" customHeight="1" x14ac:dyDescent="0.25">
      <c r="B311" s="16"/>
      <c r="C311" s="16"/>
    </row>
    <row r="312" spans="2:3" ht="16.5" hidden="1" customHeight="1" x14ac:dyDescent="0.25">
      <c r="B312" s="16"/>
      <c r="C312" s="16"/>
    </row>
    <row r="313" spans="2:3" ht="16.5" hidden="1" customHeight="1" x14ac:dyDescent="0.25">
      <c r="B313" s="16"/>
      <c r="C313" s="16"/>
    </row>
    <row r="314" spans="2:3" ht="16.5" hidden="1" customHeight="1" x14ac:dyDescent="0.25">
      <c r="B314" s="16"/>
      <c r="C314" s="16"/>
    </row>
    <row r="315" spans="2:3" ht="16.5" hidden="1" customHeight="1" x14ac:dyDescent="0.25">
      <c r="B315" s="16"/>
      <c r="C315" s="16"/>
    </row>
    <row r="316" spans="2:3" ht="16.5" hidden="1" customHeight="1" x14ac:dyDescent="0.25">
      <c r="B316" s="16"/>
      <c r="C316" s="16"/>
    </row>
    <row r="317" spans="2:3" ht="16.5" hidden="1" customHeight="1" x14ac:dyDescent="0.25">
      <c r="B317" s="16"/>
      <c r="C317" s="16"/>
    </row>
    <row r="318" spans="2:3" ht="16.5" hidden="1" customHeight="1" x14ac:dyDescent="0.25">
      <c r="B318" s="16"/>
      <c r="C318" s="16"/>
    </row>
    <row r="319" spans="2:3" ht="16.5" hidden="1" customHeight="1" x14ac:dyDescent="0.25">
      <c r="B319" s="16"/>
      <c r="C319" s="16"/>
    </row>
    <row r="320" spans="2:3" ht="16.5" hidden="1" customHeight="1" x14ac:dyDescent="0.25">
      <c r="B320" s="16"/>
      <c r="C320" s="16"/>
    </row>
    <row r="321" spans="2:3" ht="16.5" hidden="1" customHeight="1" x14ac:dyDescent="0.25">
      <c r="B321" s="16"/>
      <c r="C321" s="16"/>
    </row>
    <row r="322" spans="2:3" ht="16.5" hidden="1" customHeight="1" x14ac:dyDescent="0.25">
      <c r="B322" s="16"/>
      <c r="C322" s="16"/>
    </row>
    <row r="323" spans="2:3" ht="16.5" hidden="1" customHeight="1" x14ac:dyDescent="0.25">
      <c r="B323" s="16"/>
      <c r="C323" s="16"/>
    </row>
    <row r="324" spans="2:3" ht="16.5" hidden="1" customHeight="1" x14ac:dyDescent="0.25">
      <c r="B324" s="16"/>
      <c r="C324" s="16"/>
    </row>
    <row r="325" spans="2:3" ht="16.5" hidden="1" customHeight="1" x14ac:dyDescent="0.25">
      <c r="B325" s="16"/>
      <c r="C325" s="16"/>
    </row>
    <row r="326" spans="2:3" ht="16.5" hidden="1" customHeight="1" x14ac:dyDescent="0.25">
      <c r="B326" s="16"/>
      <c r="C326" s="16"/>
    </row>
    <row r="327" spans="2:3" ht="16.5" hidden="1" customHeight="1" x14ac:dyDescent="0.25">
      <c r="B327" s="16"/>
      <c r="C327" s="16"/>
    </row>
    <row r="328" spans="2:3" ht="16.5" hidden="1" customHeight="1" x14ac:dyDescent="0.25">
      <c r="B328" s="16"/>
      <c r="C328" s="16"/>
    </row>
    <row r="329" spans="2:3" ht="16.5" hidden="1" customHeight="1" x14ac:dyDescent="0.25">
      <c r="B329" s="16"/>
      <c r="C329" s="16"/>
    </row>
    <row r="330" spans="2:3" ht="16.5" hidden="1" customHeight="1" x14ac:dyDescent="0.25">
      <c r="B330" s="16"/>
      <c r="C330" s="16"/>
    </row>
    <row r="331" spans="2:3" ht="16.5" hidden="1" customHeight="1" x14ac:dyDescent="0.25">
      <c r="B331" s="16"/>
      <c r="C331" s="16"/>
    </row>
    <row r="332" spans="2:3" ht="16.5" hidden="1" customHeight="1" x14ac:dyDescent="0.25">
      <c r="B332" s="16"/>
      <c r="C332" s="16"/>
    </row>
    <row r="333" spans="2:3" ht="16.5" hidden="1" customHeight="1" x14ac:dyDescent="0.25">
      <c r="B333" s="16"/>
      <c r="C333" s="16"/>
    </row>
    <row r="334" spans="2:3" ht="16.5" hidden="1" customHeight="1" x14ac:dyDescent="0.25">
      <c r="B334" s="16"/>
      <c r="C334" s="16"/>
    </row>
    <row r="335" spans="2:3" ht="16.5" hidden="1" customHeight="1" x14ac:dyDescent="0.25">
      <c r="B335" s="16"/>
      <c r="C335" s="16"/>
    </row>
    <row r="336" spans="2:3" ht="16.5" hidden="1" customHeight="1" x14ac:dyDescent="0.25">
      <c r="B336" s="16"/>
      <c r="C336" s="16"/>
    </row>
    <row r="337" spans="2:3" ht="16.5" hidden="1" customHeight="1" x14ac:dyDescent="0.25">
      <c r="B337" s="16"/>
      <c r="C337" s="16"/>
    </row>
    <row r="338" spans="2:3" ht="16.5" hidden="1" customHeight="1" x14ac:dyDescent="0.25">
      <c r="B338" s="16"/>
      <c r="C338" s="16"/>
    </row>
    <row r="339" spans="2:3" ht="16.5" hidden="1" customHeight="1" x14ac:dyDescent="0.25">
      <c r="B339" s="16"/>
      <c r="C339" s="16"/>
    </row>
    <row r="340" spans="2:3" ht="16.5" hidden="1" customHeight="1" x14ac:dyDescent="0.25">
      <c r="B340" s="16"/>
      <c r="C340" s="16"/>
    </row>
    <row r="341" spans="2:3" ht="16.5" hidden="1" customHeight="1" x14ac:dyDescent="0.25">
      <c r="B341" s="16"/>
      <c r="C341" s="16"/>
    </row>
    <row r="342" spans="2:3" ht="16.5" hidden="1" customHeight="1" x14ac:dyDescent="0.25">
      <c r="B342" s="16"/>
      <c r="C342" s="16"/>
    </row>
    <row r="343" spans="2:3" ht="16.5" hidden="1" customHeight="1" x14ac:dyDescent="0.25">
      <c r="B343" s="16"/>
      <c r="C343" s="16"/>
    </row>
    <row r="344" spans="2:3" ht="16.5" hidden="1" customHeight="1" x14ac:dyDescent="0.25">
      <c r="B344" s="16"/>
      <c r="C344" s="16"/>
    </row>
    <row r="345" spans="2:3" ht="16.5" hidden="1" customHeight="1" x14ac:dyDescent="0.25">
      <c r="B345" s="16"/>
      <c r="C345" s="16"/>
    </row>
    <row r="346" spans="2:3" ht="16.5" hidden="1" customHeight="1" x14ac:dyDescent="0.25">
      <c r="B346" s="16"/>
      <c r="C346" s="16"/>
    </row>
    <row r="347" spans="2:3" ht="16.5" hidden="1" customHeight="1" x14ac:dyDescent="0.25">
      <c r="B347" s="16"/>
      <c r="C347" s="16"/>
    </row>
    <row r="348" spans="2:3" ht="16.5" hidden="1" customHeight="1" x14ac:dyDescent="0.25">
      <c r="B348" s="16"/>
      <c r="C348" s="16"/>
    </row>
    <row r="349" spans="2:3" ht="16.5" hidden="1" customHeight="1" x14ac:dyDescent="0.25">
      <c r="B349" s="16"/>
      <c r="C349" s="16"/>
    </row>
    <row r="350" spans="2:3" ht="16.5" hidden="1" customHeight="1" x14ac:dyDescent="0.25">
      <c r="B350" s="16"/>
      <c r="C350" s="16"/>
    </row>
    <row r="351" spans="2:3" ht="16.5" hidden="1" customHeight="1" x14ac:dyDescent="0.25">
      <c r="B351" s="16"/>
      <c r="C351" s="16"/>
    </row>
    <row r="352" spans="2:3" ht="16.5" hidden="1" customHeight="1" x14ac:dyDescent="0.25">
      <c r="B352" s="16"/>
      <c r="C352" s="16"/>
    </row>
    <row r="353" spans="2:3" ht="16.5" hidden="1" customHeight="1" x14ac:dyDescent="0.25">
      <c r="B353" s="16"/>
      <c r="C353" s="16"/>
    </row>
    <row r="354" spans="2:3" ht="16.5" hidden="1" customHeight="1" x14ac:dyDescent="0.25">
      <c r="B354" s="16"/>
      <c r="C354" s="16"/>
    </row>
    <row r="355" spans="2:3" ht="16.5" hidden="1" customHeight="1" x14ac:dyDescent="0.25">
      <c r="B355" s="16"/>
      <c r="C355" s="16"/>
    </row>
    <row r="356" spans="2:3" ht="16.5" hidden="1" customHeight="1" x14ac:dyDescent="0.25">
      <c r="B356" s="16"/>
      <c r="C356" s="16"/>
    </row>
    <row r="357" spans="2:3" ht="16.5" hidden="1" customHeight="1" x14ac:dyDescent="0.25">
      <c r="B357" s="16"/>
      <c r="C357" s="16"/>
    </row>
    <row r="358" spans="2:3" ht="16.5" hidden="1" customHeight="1" x14ac:dyDescent="0.25">
      <c r="B358" s="16"/>
      <c r="C358" s="16"/>
    </row>
    <row r="359" spans="2:3" ht="16.5" hidden="1" customHeight="1" x14ac:dyDescent="0.25">
      <c r="B359" s="16"/>
      <c r="C359" s="16"/>
    </row>
    <row r="360" spans="2:3" ht="16.5" hidden="1" customHeight="1" x14ac:dyDescent="0.25">
      <c r="B360" s="16"/>
      <c r="C360" s="16"/>
    </row>
    <row r="361" spans="2:3" ht="16.5" hidden="1" customHeight="1" x14ac:dyDescent="0.25">
      <c r="B361" s="16"/>
      <c r="C361" s="16"/>
    </row>
    <row r="362" spans="2:3" ht="16.5" hidden="1" customHeight="1" x14ac:dyDescent="0.25">
      <c r="B362" s="16"/>
      <c r="C362" s="16"/>
    </row>
    <row r="363" spans="2:3" ht="16.5" hidden="1" customHeight="1" x14ac:dyDescent="0.25">
      <c r="B363" s="16"/>
      <c r="C363" s="16"/>
    </row>
    <row r="364" spans="2:3" ht="16.5" hidden="1" customHeight="1" x14ac:dyDescent="0.25">
      <c r="B364" s="16"/>
      <c r="C364" s="16"/>
    </row>
    <row r="365" spans="2:3" ht="16.5" hidden="1" customHeight="1" x14ac:dyDescent="0.25">
      <c r="B365" s="16"/>
      <c r="C365" s="16"/>
    </row>
    <row r="366" spans="2:3" ht="16.5" hidden="1" customHeight="1" x14ac:dyDescent="0.25">
      <c r="B366" s="16"/>
      <c r="C366" s="16"/>
    </row>
    <row r="367" spans="2:3" ht="16.5" hidden="1" customHeight="1" x14ac:dyDescent="0.25">
      <c r="B367" s="16"/>
      <c r="C367" s="16"/>
    </row>
    <row r="368" spans="2:3" ht="16.5" hidden="1" customHeight="1" x14ac:dyDescent="0.25">
      <c r="B368" s="16"/>
      <c r="C368" s="16"/>
    </row>
    <row r="369" spans="2:3" ht="16.5" hidden="1" customHeight="1" x14ac:dyDescent="0.25">
      <c r="B369" s="16"/>
      <c r="C369" s="16"/>
    </row>
    <row r="370" spans="2:3" ht="16.5" hidden="1" customHeight="1" x14ac:dyDescent="0.25">
      <c r="B370" s="16"/>
      <c r="C370" s="16"/>
    </row>
    <row r="371" spans="2:3" ht="16.5" hidden="1" customHeight="1" x14ac:dyDescent="0.25">
      <c r="B371" s="16"/>
      <c r="C371" s="16"/>
    </row>
    <row r="372" spans="2:3" ht="16.5" hidden="1" customHeight="1" x14ac:dyDescent="0.25">
      <c r="B372" s="16"/>
      <c r="C372" s="16"/>
    </row>
    <row r="373" spans="2:3" ht="16.5" hidden="1" customHeight="1" x14ac:dyDescent="0.25">
      <c r="B373" s="16"/>
      <c r="C373" s="16"/>
    </row>
    <row r="374" spans="2:3" ht="16.5" hidden="1" customHeight="1" x14ac:dyDescent="0.25">
      <c r="B374" s="16"/>
      <c r="C374" s="16"/>
    </row>
    <row r="375" spans="2:3" ht="16.5" hidden="1" customHeight="1" x14ac:dyDescent="0.25">
      <c r="B375" s="16"/>
      <c r="C375" s="16"/>
    </row>
    <row r="376" spans="2:3" ht="16.5" hidden="1" customHeight="1" x14ac:dyDescent="0.25">
      <c r="B376" s="16"/>
      <c r="C376" s="16"/>
    </row>
    <row r="377" spans="2:3" ht="16.5" hidden="1" customHeight="1" x14ac:dyDescent="0.25">
      <c r="B377" s="16"/>
      <c r="C377" s="16"/>
    </row>
    <row r="378" spans="2:3" ht="16.5" hidden="1" customHeight="1" x14ac:dyDescent="0.25">
      <c r="B378" s="16"/>
      <c r="C378" s="16"/>
    </row>
    <row r="379" spans="2:3" ht="16.5" hidden="1" customHeight="1" x14ac:dyDescent="0.25">
      <c r="B379" s="16"/>
      <c r="C379" s="16"/>
    </row>
    <row r="380" spans="2:3" ht="16.5" hidden="1" customHeight="1" x14ac:dyDescent="0.25">
      <c r="B380" s="16"/>
      <c r="C380" s="16"/>
    </row>
    <row r="381" spans="2:3" ht="16.5" hidden="1" customHeight="1" x14ac:dyDescent="0.25">
      <c r="B381" s="16"/>
      <c r="C381" s="16"/>
    </row>
    <row r="382" spans="2:3" ht="16.5" hidden="1" customHeight="1" x14ac:dyDescent="0.25">
      <c r="B382" s="16"/>
      <c r="C382" s="16"/>
    </row>
    <row r="383" spans="2:3" ht="16.5" hidden="1" customHeight="1" x14ac:dyDescent="0.25">
      <c r="B383" s="16"/>
      <c r="C383" s="16"/>
    </row>
    <row r="384" spans="2:3" ht="16.5" hidden="1" customHeight="1" x14ac:dyDescent="0.25">
      <c r="B384" s="16"/>
      <c r="C384" s="16"/>
    </row>
    <row r="385" spans="2:3" ht="16.5" hidden="1" customHeight="1" x14ac:dyDescent="0.25">
      <c r="B385" s="16"/>
      <c r="C385" s="16"/>
    </row>
    <row r="386" spans="2:3" ht="16.5" hidden="1" customHeight="1" x14ac:dyDescent="0.25">
      <c r="B386" s="16"/>
      <c r="C386" s="16"/>
    </row>
    <row r="387" spans="2:3" ht="16.5" hidden="1" customHeight="1" x14ac:dyDescent="0.25">
      <c r="B387" s="16"/>
      <c r="C387" s="16"/>
    </row>
    <row r="388" spans="2:3" ht="16.5" hidden="1" customHeight="1" x14ac:dyDescent="0.25">
      <c r="B388" s="16"/>
      <c r="C388" s="16"/>
    </row>
    <row r="389" spans="2:3" ht="16.5" hidden="1" customHeight="1" x14ac:dyDescent="0.25">
      <c r="B389" s="16"/>
      <c r="C389" s="16"/>
    </row>
    <row r="390" spans="2:3" ht="16.5" hidden="1" customHeight="1" x14ac:dyDescent="0.25">
      <c r="B390" s="16"/>
      <c r="C390" s="16"/>
    </row>
    <row r="391" spans="2:3" ht="16.5" hidden="1" customHeight="1" x14ac:dyDescent="0.25">
      <c r="B391" s="16"/>
      <c r="C391" s="16"/>
    </row>
    <row r="392" spans="2:3" ht="16.5" hidden="1" customHeight="1" x14ac:dyDescent="0.25">
      <c r="B392" s="16"/>
      <c r="C392" s="16"/>
    </row>
    <row r="393" spans="2:3" ht="16.5" hidden="1" customHeight="1" x14ac:dyDescent="0.25">
      <c r="B393" s="16"/>
      <c r="C393" s="16"/>
    </row>
    <row r="394" spans="2:3" ht="16.5" hidden="1" customHeight="1" x14ac:dyDescent="0.25">
      <c r="B394" s="16"/>
      <c r="C394" s="16"/>
    </row>
    <row r="395" spans="2:3" ht="16.5" hidden="1" customHeight="1" x14ac:dyDescent="0.25">
      <c r="B395" s="16"/>
      <c r="C395" s="16"/>
    </row>
    <row r="396" spans="2:3" ht="16.5" hidden="1" customHeight="1" x14ac:dyDescent="0.25">
      <c r="B396" s="16"/>
      <c r="C396" s="16"/>
    </row>
    <row r="397" spans="2:3" ht="16.5" hidden="1" customHeight="1" x14ac:dyDescent="0.25">
      <c r="B397" s="16"/>
      <c r="C397" s="16"/>
    </row>
    <row r="398" spans="2:3" ht="16.5" hidden="1" customHeight="1" x14ac:dyDescent="0.25">
      <c r="B398" s="16"/>
      <c r="C398" s="16"/>
    </row>
    <row r="399" spans="2:3" ht="16.5" hidden="1" customHeight="1" x14ac:dyDescent="0.25">
      <c r="B399" s="16"/>
      <c r="C399" s="16"/>
    </row>
    <row r="400" spans="2:3" ht="16.5" hidden="1" customHeight="1" x14ac:dyDescent="0.25">
      <c r="B400" s="16"/>
      <c r="C400" s="16"/>
    </row>
    <row r="401" spans="2:3" ht="16.5" hidden="1" customHeight="1" x14ac:dyDescent="0.25">
      <c r="B401" s="16"/>
      <c r="C401" s="16"/>
    </row>
    <row r="402" spans="2:3" ht="16.5" hidden="1" customHeight="1" x14ac:dyDescent="0.25">
      <c r="B402" s="16"/>
      <c r="C402" s="16"/>
    </row>
    <row r="403" spans="2:3" ht="16.5" hidden="1" customHeight="1" x14ac:dyDescent="0.25">
      <c r="B403" s="16"/>
      <c r="C403" s="16"/>
    </row>
    <row r="404" spans="2:3" ht="16.5" hidden="1" customHeight="1" x14ac:dyDescent="0.25">
      <c r="B404" s="16"/>
      <c r="C404" s="16"/>
    </row>
    <row r="405" spans="2:3" ht="16.5" hidden="1" customHeight="1" x14ac:dyDescent="0.25">
      <c r="B405" s="16"/>
      <c r="C405" s="16"/>
    </row>
    <row r="406" spans="2:3" ht="16.5" hidden="1" customHeight="1" x14ac:dyDescent="0.25">
      <c r="B406" s="16"/>
      <c r="C406" s="16"/>
    </row>
    <row r="407" spans="2:3" ht="16.5" hidden="1" customHeight="1" x14ac:dyDescent="0.25">
      <c r="B407" s="16"/>
      <c r="C407" s="16"/>
    </row>
    <row r="408" spans="2:3" ht="16.5" hidden="1" customHeight="1" x14ac:dyDescent="0.25">
      <c r="B408" s="16"/>
      <c r="C408" s="16"/>
    </row>
    <row r="409" spans="2:3" ht="16.5" hidden="1" customHeight="1" x14ac:dyDescent="0.25">
      <c r="B409" s="16"/>
      <c r="C409" s="16"/>
    </row>
    <row r="410" spans="2:3" ht="16.5" hidden="1" customHeight="1" x14ac:dyDescent="0.25">
      <c r="B410" s="16"/>
      <c r="C410" s="16"/>
    </row>
    <row r="411" spans="2:3" ht="16.5" hidden="1" customHeight="1" x14ac:dyDescent="0.25">
      <c r="B411" s="16"/>
      <c r="C411" s="16"/>
    </row>
    <row r="412" spans="2:3" ht="16.5" hidden="1" customHeight="1" x14ac:dyDescent="0.25">
      <c r="B412" s="16"/>
      <c r="C412" s="16"/>
    </row>
    <row r="413" spans="2:3" ht="16.5" hidden="1" customHeight="1" x14ac:dyDescent="0.25">
      <c r="B413" s="16"/>
      <c r="C413" s="16"/>
    </row>
    <row r="414" spans="2:3" ht="16.5" hidden="1" customHeight="1" x14ac:dyDescent="0.25">
      <c r="B414" s="16"/>
      <c r="C414" s="16"/>
    </row>
    <row r="415" spans="2:3" ht="16.5" hidden="1" customHeight="1" x14ac:dyDescent="0.25">
      <c r="B415" s="16"/>
      <c r="C415" s="16"/>
    </row>
    <row r="416" spans="2:3" ht="16.5" hidden="1" customHeight="1" x14ac:dyDescent="0.25">
      <c r="B416" s="16"/>
      <c r="C416" s="16"/>
    </row>
    <row r="417" spans="2:3" ht="16.5" hidden="1" customHeight="1" x14ac:dyDescent="0.25">
      <c r="B417" s="16"/>
      <c r="C417" s="16"/>
    </row>
    <row r="418" spans="2:3" ht="16.5" hidden="1" customHeight="1" x14ac:dyDescent="0.25">
      <c r="B418" s="16"/>
      <c r="C418" s="16"/>
    </row>
    <row r="419" spans="2:3" ht="16.5" hidden="1" customHeight="1" x14ac:dyDescent="0.25">
      <c r="B419" s="16"/>
      <c r="C419" s="16"/>
    </row>
    <row r="420" spans="2:3" ht="16.5" hidden="1" customHeight="1" x14ac:dyDescent="0.25">
      <c r="B420" s="16"/>
      <c r="C420" s="16"/>
    </row>
    <row r="421" spans="2:3" ht="16.5" hidden="1" customHeight="1" x14ac:dyDescent="0.25">
      <c r="B421" s="16"/>
      <c r="C421" s="16"/>
    </row>
    <row r="422" spans="2:3" ht="16.5" hidden="1" customHeight="1" x14ac:dyDescent="0.25">
      <c r="B422" s="16"/>
      <c r="C422" s="16"/>
    </row>
    <row r="423" spans="2:3" ht="16.5" hidden="1" customHeight="1" x14ac:dyDescent="0.25">
      <c r="B423" s="16"/>
      <c r="C423" s="16"/>
    </row>
    <row r="424" spans="2:3" ht="16.5" hidden="1" customHeight="1" x14ac:dyDescent="0.25">
      <c r="B424" s="16"/>
      <c r="C424" s="16"/>
    </row>
    <row r="425" spans="2:3" ht="16.5" hidden="1" customHeight="1" x14ac:dyDescent="0.25">
      <c r="B425" s="16"/>
      <c r="C425" s="16"/>
    </row>
    <row r="426" spans="2:3" ht="16.5" hidden="1" customHeight="1" x14ac:dyDescent="0.25">
      <c r="B426" s="16"/>
      <c r="C426" s="16"/>
    </row>
    <row r="427" spans="2:3" ht="16.5" hidden="1" customHeight="1" x14ac:dyDescent="0.25">
      <c r="B427" s="16"/>
      <c r="C427" s="16"/>
    </row>
    <row r="428" spans="2:3" ht="16.5" hidden="1" customHeight="1" x14ac:dyDescent="0.25">
      <c r="B428" s="16"/>
      <c r="C428" s="16"/>
    </row>
    <row r="429" spans="2:3" ht="16.5" hidden="1" customHeight="1" x14ac:dyDescent="0.25">
      <c r="B429" s="16"/>
      <c r="C429" s="16"/>
    </row>
    <row r="430" spans="2:3" ht="16.5" hidden="1" customHeight="1" x14ac:dyDescent="0.25">
      <c r="B430" s="16"/>
      <c r="C430" s="16"/>
    </row>
    <row r="431" spans="2:3" ht="16.5" hidden="1" customHeight="1" x14ac:dyDescent="0.25">
      <c r="B431" s="16"/>
      <c r="C431" s="16"/>
    </row>
    <row r="432" spans="2:3" ht="16.5" hidden="1" customHeight="1" x14ac:dyDescent="0.25">
      <c r="B432" s="16"/>
      <c r="C432" s="16"/>
    </row>
    <row r="433" spans="2:3" ht="16.5" hidden="1" customHeight="1" x14ac:dyDescent="0.25">
      <c r="B433" s="16"/>
      <c r="C433" s="16"/>
    </row>
    <row r="434" spans="2:3" ht="16.5" hidden="1" customHeight="1" x14ac:dyDescent="0.25">
      <c r="B434" s="16"/>
      <c r="C434" s="16"/>
    </row>
    <row r="435" spans="2:3" ht="16.5" hidden="1" customHeight="1" x14ac:dyDescent="0.25">
      <c r="B435" s="16"/>
      <c r="C435" s="16"/>
    </row>
    <row r="436" spans="2:3" ht="16.5" hidden="1" customHeight="1" x14ac:dyDescent="0.25">
      <c r="B436" s="16"/>
      <c r="C436" s="16"/>
    </row>
    <row r="437" spans="2:3" ht="16.5" hidden="1" customHeight="1" x14ac:dyDescent="0.25">
      <c r="B437" s="16"/>
      <c r="C437" s="16"/>
    </row>
    <row r="438" spans="2:3" ht="16.5" hidden="1" customHeight="1" x14ac:dyDescent="0.25">
      <c r="B438" s="16"/>
      <c r="C438" s="16"/>
    </row>
    <row r="439" spans="2:3" ht="16.5" hidden="1" customHeight="1" x14ac:dyDescent="0.25">
      <c r="B439" s="16"/>
      <c r="C439" s="16"/>
    </row>
    <row r="440" spans="2:3" ht="16.5" hidden="1" customHeight="1" x14ac:dyDescent="0.25">
      <c r="B440" s="16"/>
      <c r="C440" s="16"/>
    </row>
    <row r="441" spans="2:3" ht="16.5" hidden="1" customHeight="1" x14ac:dyDescent="0.25">
      <c r="B441" s="16"/>
      <c r="C441" s="16"/>
    </row>
    <row r="442" spans="2:3" ht="16.5" hidden="1" customHeight="1" x14ac:dyDescent="0.25">
      <c r="B442" s="16"/>
      <c r="C442" s="16"/>
    </row>
    <row r="443" spans="2:3" ht="16.5" hidden="1" customHeight="1" x14ac:dyDescent="0.25">
      <c r="B443" s="16"/>
      <c r="C443" s="16"/>
    </row>
    <row r="444" spans="2:3" ht="16.5" hidden="1" customHeight="1" x14ac:dyDescent="0.25">
      <c r="B444" s="16"/>
      <c r="C444" s="16"/>
    </row>
    <row r="445" spans="2:3" ht="16.5" hidden="1" customHeight="1" x14ac:dyDescent="0.25">
      <c r="B445" s="16"/>
      <c r="C445" s="16"/>
    </row>
    <row r="446" spans="2:3" ht="16.5" hidden="1" customHeight="1" x14ac:dyDescent="0.25">
      <c r="B446" s="16"/>
      <c r="C446" s="16"/>
    </row>
    <row r="447" spans="2:3" ht="16.5" hidden="1" customHeight="1" x14ac:dyDescent="0.25">
      <c r="B447" s="16"/>
      <c r="C447" s="16"/>
    </row>
    <row r="448" spans="2:3" ht="16.5" hidden="1" customHeight="1" x14ac:dyDescent="0.25">
      <c r="B448" s="16"/>
      <c r="C448" s="16"/>
    </row>
    <row r="449" spans="2:3" ht="16.5" hidden="1" customHeight="1" x14ac:dyDescent="0.25">
      <c r="B449" s="16"/>
      <c r="C449" s="16"/>
    </row>
    <row r="450" spans="2:3" ht="16.5" hidden="1" customHeight="1" x14ac:dyDescent="0.25">
      <c r="B450" s="16"/>
      <c r="C450" s="16"/>
    </row>
    <row r="451" spans="2:3" ht="16.5" hidden="1" customHeight="1" x14ac:dyDescent="0.25">
      <c r="B451" s="16"/>
      <c r="C451" s="16"/>
    </row>
    <row r="452" spans="2:3" ht="16.5" hidden="1" customHeight="1" x14ac:dyDescent="0.25">
      <c r="B452" s="16"/>
      <c r="C452" s="16"/>
    </row>
    <row r="453" spans="2:3" ht="16.5" hidden="1" customHeight="1" x14ac:dyDescent="0.25">
      <c r="B453" s="16"/>
      <c r="C453" s="16"/>
    </row>
    <row r="454" spans="2:3" ht="16.5" hidden="1" customHeight="1" x14ac:dyDescent="0.25">
      <c r="B454" s="16"/>
      <c r="C454" s="16"/>
    </row>
    <row r="455" spans="2:3" ht="16.5" hidden="1" customHeight="1" x14ac:dyDescent="0.25">
      <c r="B455" s="16"/>
      <c r="C455" s="16"/>
    </row>
    <row r="456" spans="2:3" ht="16.5" hidden="1" customHeight="1" x14ac:dyDescent="0.25">
      <c r="B456" s="16"/>
      <c r="C456" s="16"/>
    </row>
    <row r="457" spans="2:3" ht="16.5" hidden="1" customHeight="1" x14ac:dyDescent="0.25">
      <c r="B457" s="16"/>
      <c r="C457" s="16"/>
    </row>
    <row r="458" spans="2:3" ht="16.5" hidden="1" customHeight="1" x14ac:dyDescent="0.25">
      <c r="B458" s="16"/>
      <c r="C458" s="16"/>
    </row>
    <row r="459" spans="2:3" ht="16.5" hidden="1" customHeight="1" x14ac:dyDescent="0.25">
      <c r="B459" s="16"/>
      <c r="C459" s="16"/>
    </row>
    <row r="460" spans="2:3" ht="16.5" hidden="1" customHeight="1" x14ac:dyDescent="0.25">
      <c r="B460" s="16"/>
      <c r="C460" s="16"/>
    </row>
    <row r="461" spans="2:3" ht="16.5" hidden="1" customHeight="1" x14ac:dyDescent="0.25">
      <c r="B461" s="16"/>
      <c r="C461" s="16"/>
    </row>
    <row r="462" spans="2:3" ht="16.5" hidden="1" customHeight="1" x14ac:dyDescent="0.25">
      <c r="B462" s="16"/>
      <c r="C462" s="16"/>
    </row>
    <row r="463" spans="2:3" ht="16.5" hidden="1" customHeight="1" x14ac:dyDescent="0.25">
      <c r="B463" s="16"/>
      <c r="C463" s="16"/>
    </row>
    <row r="464" spans="2:3" ht="16.5" hidden="1" customHeight="1" x14ac:dyDescent="0.25">
      <c r="B464" s="16"/>
      <c r="C464" s="16"/>
    </row>
    <row r="465" spans="2:3" ht="16.5" hidden="1" customHeight="1" x14ac:dyDescent="0.25">
      <c r="B465" s="16"/>
      <c r="C465" s="16"/>
    </row>
    <row r="466" spans="2:3" ht="16.5" hidden="1" customHeight="1" x14ac:dyDescent="0.25">
      <c r="B466" s="16"/>
      <c r="C466" s="16"/>
    </row>
    <row r="467" spans="2:3" ht="16.5" hidden="1" customHeight="1" x14ac:dyDescent="0.25">
      <c r="B467" s="16"/>
      <c r="C467" s="16"/>
    </row>
    <row r="468" spans="2:3" ht="16.5" hidden="1" customHeight="1" x14ac:dyDescent="0.25">
      <c r="B468" s="16"/>
      <c r="C468" s="16"/>
    </row>
    <row r="469" spans="2:3" ht="16.5" hidden="1" customHeight="1" x14ac:dyDescent="0.25">
      <c r="B469" s="16"/>
      <c r="C469" s="16"/>
    </row>
    <row r="470" spans="2:3" ht="16.5" hidden="1" customHeight="1" x14ac:dyDescent="0.25">
      <c r="B470" s="16"/>
      <c r="C470" s="16"/>
    </row>
    <row r="471" spans="2:3" ht="16.5" hidden="1" customHeight="1" x14ac:dyDescent="0.25">
      <c r="B471" s="16"/>
      <c r="C471" s="16"/>
    </row>
    <row r="472" spans="2:3" ht="16.5" hidden="1" customHeight="1" x14ac:dyDescent="0.25">
      <c r="B472" s="16"/>
      <c r="C472" s="16"/>
    </row>
    <row r="473" spans="2:3" ht="16.5" hidden="1" customHeight="1" x14ac:dyDescent="0.25">
      <c r="B473" s="16"/>
      <c r="C473" s="16"/>
    </row>
    <row r="474" spans="2:3" ht="16.5" hidden="1" customHeight="1" x14ac:dyDescent="0.25">
      <c r="B474" s="16"/>
      <c r="C474" s="16"/>
    </row>
    <row r="475" spans="2:3" ht="16.5" hidden="1" customHeight="1" x14ac:dyDescent="0.25">
      <c r="B475" s="16"/>
      <c r="C475" s="16"/>
    </row>
    <row r="476" spans="2:3" ht="16.5" hidden="1" customHeight="1" x14ac:dyDescent="0.25">
      <c r="B476" s="16"/>
      <c r="C476" s="16"/>
    </row>
    <row r="477" spans="2:3" ht="16.5" hidden="1" customHeight="1" x14ac:dyDescent="0.25">
      <c r="B477" s="16"/>
      <c r="C477" s="16"/>
    </row>
    <row r="478" spans="2:3" ht="16.5" hidden="1" customHeight="1" x14ac:dyDescent="0.25">
      <c r="B478" s="16"/>
      <c r="C478" s="16"/>
    </row>
    <row r="479" spans="2:3" ht="16.5" hidden="1" customHeight="1" x14ac:dyDescent="0.25">
      <c r="B479" s="16"/>
      <c r="C479" s="16"/>
    </row>
    <row r="480" spans="2:3" ht="16.5" hidden="1" customHeight="1" x14ac:dyDescent="0.25">
      <c r="B480" s="16"/>
      <c r="C480" s="16"/>
    </row>
    <row r="481" spans="2:3" ht="16.5" hidden="1" customHeight="1" x14ac:dyDescent="0.25">
      <c r="B481" s="16"/>
      <c r="C481" s="16"/>
    </row>
    <row r="482" spans="2:3" ht="16.5" hidden="1" customHeight="1" x14ac:dyDescent="0.25">
      <c r="B482" s="16"/>
      <c r="C482" s="16"/>
    </row>
    <row r="483" spans="2:3" ht="16.5" hidden="1" customHeight="1" x14ac:dyDescent="0.25">
      <c r="B483" s="16"/>
      <c r="C483" s="16"/>
    </row>
    <row r="484" spans="2:3" ht="16.5" hidden="1" customHeight="1" x14ac:dyDescent="0.25">
      <c r="B484" s="16"/>
      <c r="C484" s="16"/>
    </row>
    <row r="485" spans="2:3" ht="16.5" hidden="1" customHeight="1" x14ac:dyDescent="0.25">
      <c r="B485" s="16"/>
      <c r="C485" s="16"/>
    </row>
    <row r="486" spans="2:3" ht="16.5" hidden="1" customHeight="1" x14ac:dyDescent="0.25">
      <c r="B486" s="16"/>
      <c r="C486" s="16"/>
    </row>
    <row r="487" spans="2:3" ht="16.5" hidden="1" customHeight="1" x14ac:dyDescent="0.25">
      <c r="B487" s="16"/>
      <c r="C487" s="16"/>
    </row>
    <row r="488" spans="2:3" ht="16.5" hidden="1" customHeight="1" x14ac:dyDescent="0.25">
      <c r="B488" s="16"/>
      <c r="C488" s="16"/>
    </row>
    <row r="489" spans="2:3" ht="16.5" hidden="1" customHeight="1" x14ac:dyDescent="0.25">
      <c r="B489" s="16"/>
      <c r="C489" s="16"/>
    </row>
    <row r="490" spans="2:3" ht="16.5" hidden="1" customHeight="1" x14ac:dyDescent="0.25">
      <c r="B490" s="16"/>
      <c r="C490" s="16"/>
    </row>
    <row r="491" spans="2:3" ht="16.5" hidden="1" customHeight="1" x14ac:dyDescent="0.25">
      <c r="B491" s="16"/>
      <c r="C491" s="16"/>
    </row>
    <row r="492" spans="2:3" ht="16.5" hidden="1" customHeight="1" x14ac:dyDescent="0.25">
      <c r="B492" s="16"/>
      <c r="C492" s="16"/>
    </row>
    <row r="493" spans="2:3" ht="16.5" hidden="1" customHeight="1" x14ac:dyDescent="0.25">
      <c r="B493" s="16"/>
      <c r="C493" s="16"/>
    </row>
    <row r="494" spans="2:3" ht="16.5" hidden="1" customHeight="1" x14ac:dyDescent="0.25">
      <c r="B494" s="16"/>
      <c r="C494" s="16"/>
    </row>
    <row r="495" spans="2:3" ht="16.5" hidden="1" customHeight="1" x14ac:dyDescent="0.25">
      <c r="B495" s="16"/>
      <c r="C495" s="16"/>
    </row>
    <row r="496" spans="2:3" ht="16.5" hidden="1" customHeight="1" x14ac:dyDescent="0.25">
      <c r="B496" s="16"/>
      <c r="C496" s="16"/>
    </row>
    <row r="497" spans="2:3" ht="16.5" hidden="1" customHeight="1" x14ac:dyDescent="0.25">
      <c r="B497" s="16"/>
      <c r="C497" s="16"/>
    </row>
    <row r="498" spans="2:3" ht="16.5" hidden="1" customHeight="1" x14ac:dyDescent="0.25">
      <c r="B498" s="16"/>
      <c r="C498" s="16"/>
    </row>
    <row r="499" spans="2:3" ht="16.5" hidden="1" customHeight="1" x14ac:dyDescent="0.25">
      <c r="B499" s="16"/>
      <c r="C499" s="16"/>
    </row>
    <row r="500" spans="2:3" ht="16.5" hidden="1" customHeight="1" x14ac:dyDescent="0.25">
      <c r="B500" s="16"/>
      <c r="C500" s="16"/>
    </row>
    <row r="501" spans="2:3" ht="16.5" hidden="1" customHeight="1" x14ac:dyDescent="0.25">
      <c r="B501" s="16"/>
      <c r="C501" s="16"/>
    </row>
    <row r="502" spans="2:3" ht="16.5" hidden="1" customHeight="1" x14ac:dyDescent="0.25">
      <c r="B502" s="16"/>
      <c r="C502" s="16"/>
    </row>
    <row r="503" spans="2:3" ht="16.5" hidden="1" customHeight="1" x14ac:dyDescent="0.25">
      <c r="B503" s="16"/>
      <c r="C503" s="16"/>
    </row>
    <row r="504" spans="2:3" ht="16.5" hidden="1" customHeight="1" x14ac:dyDescent="0.25">
      <c r="B504" s="16"/>
      <c r="C504" s="16"/>
    </row>
    <row r="505" spans="2:3" ht="16.5" hidden="1" customHeight="1" x14ac:dyDescent="0.25">
      <c r="B505" s="16"/>
      <c r="C505" s="16"/>
    </row>
    <row r="506" spans="2:3" ht="16.5" hidden="1" customHeight="1" x14ac:dyDescent="0.25">
      <c r="B506" s="16"/>
      <c r="C506" s="16"/>
    </row>
    <row r="507" spans="2:3" ht="16.5" hidden="1" customHeight="1" x14ac:dyDescent="0.25">
      <c r="B507" s="16"/>
      <c r="C507" s="16"/>
    </row>
    <row r="508" spans="2:3" ht="16.5" hidden="1" customHeight="1" x14ac:dyDescent="0.25">
      <c r="B508" s="16"/>
      <c r="C508" s="16"/>
    </row>
    <row r="509" spans="2:3" ht="16.5" hidden="1" customHeight="1" x14ac:dyDescent="0.25">
      <c r="B509" s="16"/>
      <c r="C509" s="16"/>
    </row>
    <row r="510" spans="2:3" ht="16.5" hidden="1" customHeight="1" x14ac:dyDescent="0.25">
      <c r="B510" s="16"/>
      <c r="C510" s="16"/>
    </row>
    <row r="511" spans="2:3" ht="16.5" hidden="1" customHeight="1" x14ac:dyDescent="0.25">
      <c r="B511" s="16"/>
      <c r="C511" s="16"/>
    </row>
    <row r="512" spans="2:3" ht="16.5" hidden="1" customHeight="1" x14ac:dyDescent="0.25">
      <c r="B512" s="16"/>
      <c r="C512" s="16"/>
    </row>
    <row r="513" spans="2:3" ht="16.5" hidden="1" customHeight="1" x14ac:dyDescent="0.25">
      <c r="B513" s="16"/>
      <c r="C513" s="16"/>
    </row>
    <row r="514" spans="2:3" ht="16.5" hidden="1" customHeight="1" x14ac:dyDescent="0.25">
      <c r="B514" s="16"/>
      <c r="C514" s="16"/>
    </row>
    <row r="515" spans="2:3" ht="16.5" hidden="1" customHeight="1" x14ac:dyDescent="0.25">
      <c r="B515" s="16"/>
      <c r="C515" s="16"/>
    </row>
    <row r="516" spans="2:3" ht="16.5" hidden="1" customHeight="1" x14ac:dyDescent="0.25">
      <c r="B516" s="16"/>
      <c r="C516" s="16"/>
    </row>
    <row r="517" spans="2:3" ht="16.5" hidden="1" customHeight="1" x14ac:dyDescent="0.25">
      <c r="B517" s="16"/>
      <c r="C517" s="16"/>
    </row>
    <row r="518" spans="2:3" ht="16.5" hidden="1" customHeight="1" x14ac:dyDescent="0.25">
      <c r="B518" s="16"/>
      <c r="C518" s="16"/>
    </row>
    <row r="519" spans="2:3" ht="16.5" hidden="1" customHeight="1" x14ac:dyDescent="0.25">
      <c r="B519" s="16"/>
      <c r="C519" s="16"/>
    </row>
    <row r="520" spans="2:3" ht="16.5" hidden="1" customHeight="1" x14ac:dyDescent="0.25">
      <c r="B520" s="16"/>
      <c r="C520" s="16"/>
    </row>
    <row r="521" spans="2:3" ht="16.5" hidden="1" customHeight="1" x14ac:dyDescent="0.25">
      <c r="B521" s="16"/>
      <c r="C521" s="16"/>
    </row>
    <row r="522" spans="2:3" ht="16.5" hidden="1" customHeight="1" x14ac:dyDescent="0.25">
      <c r="B522" s="16"/>
      <c r="C522" s="16"/>
    </row>
    <row r="523" spans="2:3" ht="16.5" hidden="1" customHeight="1" x14ac:dyDescent="0.25">
      <c r="B523" s="16"/>
      <c r="C523" s="16"/>
    </row>
    <row r="524" spans="2:3" ht="16.5" hidden="1" customHeight="1" x14ac:dyDescent="0.25">
      <c r="B524" s="16"/>
      <c r="C524" s="16"/>
    </row>
    <row r="525" spans="2:3" ht="16.5" hidden="1" customHeight="1" x14ac:dyDescent="0.25">
      <c r="B525" s="16"/>
      <c r="C525" s="16"/>
    </row>
    <row r="526" spans="2:3" ht="16.5" hidden="1" customHeight="1" x14ac:dyDescent="0.25">
      <c r="B526" s="16"/>
      <c r="C526" s="16"/>
    </row>
    <row r="527" spans="2:3" ht="16.5" hidden="1" customHeight="1" x14ac:dyDescent="0.25">
      <c r="B527" s="16"/>
      <c r="C527" s="16"/>
    </row>
    <row r="528" spans="2:3" ht="16.5" hidden="1" customHeight="1" x14ac:dyDescent="0.25">
      <c r="B528" s="16"/>
      <c r="C528" s="16"/>
    </row>
    <row r="529" spans="2:3" ht="16.5" hidden="1" customHeight="1" x14ac:dyDescent="0.25">
      <c r="B529" s="16"/>
      <c r="C529" s="16"/>
    </row>
    <row r="530" spans="2:3" ht="16.5" hidden="1" customHeight="1" x14ac:dyDescent="0.25">
      <c r="B530" s="16"/>
      <c r="C530" s="16"/>
    </row>
    <row r="531" spans="2:3" ht="16.5" hidden="1" customHeight="1" x14ac:dyDescent="0.25">
      <c r="B531" s="16"/>
      <c r="C531" s="16"/>
    </row>
    <row r="532" spans="2:3" ht="16.5" hidden="1" customHeight="1" x14ac:dyDescent="0.25">
      <c r="B532" s="16"/>
      <c r="C532" s="16"/>
    </row>
    <row r="533" spans="2:3" ht="16.5" hidden="1" customHeight="1" x14ac:dyDescent="0.25">
      <c r="B533" s="16"/>
      <c r="C533" s="16"/>
    </row>
    <row r="534" spans="2:3" ht="16.5" hidden="1" customHeight="1" x14ac:dyDescent="0.25">
      <c r="B534" s="16"/>
      <c r="C534" s="16"/>
    </row>
    <row r="535" spans="2:3" ht="16.5" hidden="1" customHeight="1" x14ac:dyDescent="0.25">
      <c r="B535" s="16"/>
      <c r="C535" s="16"/>
    </row>
    <row r="536" spans="2:3" ht="16.5" hidden="1" customHeight="1" x14ac:dyDescent="0.25">
      <c r="B536" s="16"/>
      <c r="C536" s="16"/>
    </row>
    <row r="537" spans="2:3" ht="16.5" hidden="1" customHeight="1" x14ac:dyDescent="0.25">
      <c r="B537" s="16"/>
      <c r="C537" s="16"/>
    </row>
    <row r="538" spans="2:3" ht="16.5" hidden="1" customHeight="1" x14ac:dyDescent="0.25">
      <c r="B538" s="16"/>
      <c r="C538" s="16"/>
    </row>
    <row r="539" spans="2:3" ht="16.5" hidden="1" customHeight="1" x14ac:dyDescent="0.25">
      <c r="B539" s="16"/>
      <c r="C539" s="16"/>
    </row>
    <row r="540" spans="2:3" ht="16.5" hidden="1" customHeight="1" x14ac:dyDescent="0.25">
      <c r="B540" s="16"/>
      <c r="C540" s="16"/>
    </row>
    <row r="541" spans="2:3" ht="16.5" hidden="1" customHeight="1" x14ac:dyDescent="0.25">
      <c r="B541" s="16"/>
      <c r="C541" s="16"/>
    </row>
    <row r="542" spans="2:3" ht="16.5" hidden="1" customHeight="1" x14ac:dyDescent="0.25">
      <c r="B542" s="16"/>
      <c r="C542" s="16"/>
    </row>
    <row r="543" spans="2:3" ht="16.5" hidden="1" customHeight="1" x14ac:dyDescent="0.25">
      <c r="B543" s="16"/>
      <c r="C543" s="16"/>
    </row>
    <row r="544" spans="2:3" ht="16.5" hidden="1" customHeight="1" x14ac:dyDescent="0.25">
      <c r="B544" s="16"/>
      <c r="C544" s="16"/>
    </row>
    <row r="545" spans="2:3" ht="16.5" hidden="1" customHeight="1" x14ac:dyDescent="0.25">
      <c r="B545" s="16"/>
      <c r="C545" s="16"/>
    </row>
    <row r="546" spans="2:3" ht="16.5" hidden="1" customHeight="1" x14ac:dyDescent="0.25">
      <c r="B546" s="16"/>
      <c r="C546" s="16"/>
    </row>
    <row r="547" spans="2:3" ht="16.5" hidden="1" customHeight="1" x14ac:dyDescent="0.25">
      <c r="B547" s="16"/>
      <c r="C547" s="16"/>
    </row>
    <row r="548" spans="2:3" ht="16.5" hidden="1" customHeight="1" x14ac:dyDescent="0.25">
      <c r="B548" s="16"/>
      <c r="C548" s="16"/>
    </row>
    <row r="549" spans="2:3" ht="16.5" hidden="1" customHeight="1" x14ac:dyDescent="0.25">
      <c r="B549" s="16"/>
      <c r="C549" s="16"/>
    </row>
    <row r="550" spans="2:3" ht="16.5" hidden="1" customHeight="1" x14ac:dyDescent="0.25">
      <c r="B550" s="16"/>
      <c r="C550" s="16"/>
    </row>
    <row r="551" spans="2:3" ht="16.5" hidden="1" customHeight="1" x14ac:dyDescent="0.25">
      <c r="B551" s="16"/>
      <c r="C551" s="16"/>
    </row>
    <row r="552" spans="2:3" ht="16.5" hidden="1" customHeight="1" x14ac:dyDescent="0.25">
      <c r="B552" s="16"/>
      <c r="C552" s="16"/>
    </row>
    <row r="553" spans="2:3" ht="16.5" hidden="1" customHeight="1" x14ac:dyDescent="0.25">
      <c r="B553" s="16"/>
      <c r="C553" s="16"/>
    </row>
    <row r="554" spans="2:3" ht="16.5" hidden="1" customHeight="1" x14ac:dyDescent="0.25"/>
    <row r="555" spans="2:3" ht="16.5" hidden="1" customHeight="1" x14ac:dyDescent="0.25"/>
    <row r="556" spans="2:3" ht="16.5" hidden="1" customHeight="1" x14ac:dyDescent="0.25"/>
    <row r="557" spans="2:3" ht="16.5" hidden="1" customHeight="1" x14ac:dyDescent="0.25"/>
    <row r="558" spans="2:3" ht="16.5" hidden="1" customHeight="1" x14ac:dyDescent="0.25"/>
    <row r="559" spans="2:3" ht="16.5" hidden="1" customHeight="1" x14ac:dyDescent="0.25"/>
    <row r="560" spans="2:3" ht="16.5" hidden="1" customHeight="1" x14ac:dyDescent="0.25"/>
    <row r="561" ht="16.5" hidden="1" customHeight="1" x14ac:dyDescent="0.25"/>
    <row r="562" ht="16.5" hidden="1" customHeight="1" x14ac:dyDescent="0.25"/>
    <row r="563" ht="16.5" hidden="1" customHeight="1" x14ac:dyDescent="0.25"/>
    <row r="564" ht="16.5" hidden="1" customHeight="1" x14ac:dyDescent="0.2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200025</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election activeCell="X12" sqref="X12"/>
    </sheetView>
  </sheetViews>
  <sheetFormatPr defaultColWidth="0" defaultRowHeight="0" customHeight="1" zeroHeight="1" x14ac:dyDescent="0.25"/>
  <cols>
    <col min="1" max="3" width="2.140625" style="1" customWidth="1"/>
    <col min="4" max="4" width="18.7109375" style="1" customWidth="1"/>
    <col min="5" max="8" width="9.140625" style="1" customWidth="1"/>
    <col min="9" max="9" width="7" style="1" customWidth="1"/>
    <col min="10" max="12" width="9.140625" style="1" customWidth="1"/>
    <col min="13" max="13" width="12.140625" style="1" customWidth="1"/>
    <col min="14" max="14" width="5.7109375" style="1" customWidth="1"/>
    <col min="15" max="15" width="9.140625" style="1" customWidth="1"/>
    <col min="16" max="16" width="30" style="1" customWidth="1"/>
    <col min="17" max="17" width="13.7109375" style="1" bestFit="1" customWidth="1"/>
    <col min="18" max="18" width="12.85546875" style="1" bestFit="1" customWidth="1"/>
    <col min="19" max="19" width="6.5703125" style="1" bestFit="1" customWidth="1"/>
    <col min="20" max="20" width="12.85546875" style="1" bestFit="1" customWidth="1"/>
    <col min="21" max="21" width="6.5703125" style="1" bestFit="1" customWidth="1"/>
    <col min="22" max="22" width="12.85546875" style="1" bestFit="1" customWidth="1"/>
    <col min="23" max="23" width="6.5703125" style="1" bestFit="1" customWidth="1"/>
    <col min="24" max="31" width="9.140625" style="1" customWidth="1"/>
    <col min="32" max="16384" width="9.140625" style="1" hidden="1"/>
  </cols>
  <sheetData>
    <row r="1" spans="1:23" ht="15.75" customHeight="1" x14ac:dyDescent="0.5">
      <c r="B1" s="2"/>
      <c r="C1" s="2"/>
      <c r="E1" s="6"/>
      <c r="F1" s="723"/>
      <c r="G1" s="723"/>
      <c r="H1" s="723"/>
      <c r="I1" s="723"/>
      <c r="J1" s="723"/>
      <c r="K1" s="724"/>
      <c r="L1" s="724"/>
      <c r="M1" s="724"/>
      <c r="N1" s="724"/>
      <c r="O1" s="724"/>
    </row>
    <row r="2" spans="1:23" ht="15.75" customHeight="1" x14ac:dyDescent="0.25">
      <c r="B2" s="2"/>
      <c r="C2" s="2"/>
      <c r="D2" s="718"/>
      <c r="E2" s="718"/>
    </row>
    <row r="3" spans="1:23" ht="15.75" customHeight="1" x14ac:dyDescent="0.5">
      <c r="A3" s="6"/>
      <c r="B3" s="6"/>
      <c r="C3" s="6"/>
      <c r="D3" s="6"/>
      <c r="E3" s="6"/>
      <c r="F3" s="7"/>
      <c r="G3" s="7"/>
      <c r="H3" s="7"/>
      <c r="I3" s="7"/>
      <c r="J3" s="7"/>
      <c r="K3" s="7"/>
      <c r="L3" s="7"/>
      <c r="M3" s="7"/>
      <c r="N3" s="7"/>
      <c r="O3" s="7"/>
      <c r="P3" s="7"/>
      <c r="Q3" s="721" t="s">
        <v>15</v>
      </c>
      <c r="R3" s="722"/>
      <c r="S3" s="722"/>
    </row>
    <row r="4" spans="1:23" ht="35.25" customHeight="1" x14ac:dyDescent="0.5">
      <c r="A4" s="6"/>
      <c r="B4" s="6"/>
      <c r="C4" s="6"/>
      <c r="D4" s="6"/>
      <c r="E4" s="6"/>
      <c r="F4" s="7"/>
      <c r="G4" s="7"/>
      <c r="H4" s="7"/>
      <c r="I4" s="7"/>
      <c r="J4" s="7"/>
      <c r="K4" s="7"/>
      <c r="L4" s="7"/>
      <c r="M4" s="7"/>
      <c r="N4" s="7"/>
      <c r="O4" s="7"/>
      <c r="P4" s="7"/>
      <c r="Q4" s="716" t="s">
        <v>16</v>
      </c>
      <c r="R4" s="719" t="s">
        <v>17</v>
      </c>
      <c r="S4" s="719"/>
      <c r="T4" s="719"/>
      <c r="U4" s="719"/>
      <c r="V4" s="719"/>
      <c r="W4" s="720"/>
    </row>
    <row r="5" spans="1:23" ht="16.5" customHeight="1" x14ac:dyDescent="0.5">
      <c r="A5" s="6"/>
      <c r="B5" s="6"/>
      <c r="C5" s="6"/>
      <c r="D5" s="6"/>
      <c r="E5" s="6"/>
      <c r="F5" s="4"/>
      <c r="G5" s="4"/>
      <c r="H5" s="4"/>
      <c r="I5" s="4"/>
      <c r="J5" s="4"/>
      <c r="K5" s="4"/>
      <c r="L5" s="4"/>
      <c r="M5" s="4"/>
      <c r="N5" s="4"/>
      <c r="O5" s="4"/>
      <c r="P5" s="4"/>
      <c r="Q5" s="717"/>
      <c r="R5" s="627" t="s">
        <v>18</v>
      </c>
      <c r="S5" s="628" t="s">
        <v>19</v>
      </c>
      <c r="T5" s="629" t="s">
        <v>20</v>
      </c>
      <c r="U5" s="628" t="s">
        <v>19</v>
      </c>
      <c r="V5" s="628" t="s">
        <v>21</v>
      </c>
      <c r="W5" s="628" t="s">
        <v>19</v>
      </c>
    </row>
    <row r="6" spans="1:23" ht="16.5" customHeight="1" x14ac:dyDescent="0.5">
      <c r="B6" s="2"/>
      <c r="C6" s="2"/>
      <c r="D6" s="6"/>
      <c r="E6" s="6"/>
      <c r="F6" s="4"/>
      <c r="G6" s="4"/>
      <c r="H6" s="4"/>
      <c r="I6" s="4"/>
      <c r="J6" s="4"/>
      <c r="K6" s="4"/>
      <c r="L6" s="4"/>
      <c r="M6" s="4"/>
      <c r="N6" s="4"/>
      <c r="O6" s="4"/>
      <c r="P6" s="4"/>
      <c r="Q6" s="626" t="s">
        <v>22</v>
      </c>
      <c r="R6" s="21"/>
      <c r="S6" s="561">
        <f>R6*'G-3 Multipliers'!$Z$4</f>
        <v>0</v>
      </c>
      <c r="T6" s="21">
        <v>10</v>
      </c>
      <c r="U6" s="561">
        <f>T6*'G-3 Multipliers'!$Z$4</f>
        <v>4.0694399999999999E-2</v>
      </c>
      <c r="V6" s="21">
        <v>3</v>
      </c>
      <c r="W6" s="561">
        <f>V6*'G-3 Multipliers'!$Z$4</f>
        <v>1.2208319999999998E-2</v>
      </c>
    </row>
    <row r="7" spans="1:23" ht="16.5" customHeight="1" x14ac:dyDescent="0.5">
      <c r="B7" s="2"/>
      <c r="C7" s="6"/>
      <c r="D7" s="6"/>
      <c r="E7" s="6"/>
      <c r="F7" s="4"/>
      <c r="G7" s="4"/>
      <c r="H7" s="4"/>
      <c r="I7" s="4"/>
      <c r="J7" s="4"/>
      <c r="K7" s="4"/>
      <c r="L7" s="4"/>
      <c r="M7" s="4"/>
      <c r="N7" s="4"/>
      <c r="O7" s="4"/>
      <c r="P7" s="4"/>
      <c r="Q7" s="626" t="s">
        <v>23</v>
      </c>
      <c r="R7" s="21"/>
      <c r="S7" s="561">
        <f>R7*'G-3 Multipliers'!$Z$5</f>
        <v>0</v>
      </c>
      <c r="T7" s="21">
        <v>52</v>
      </c>
      <c r="U7" s="561">
        <f>T7*'G-3 Multipliers'!$Z$5</f>
        <v>1.9044979200000003</v>
      </c>
      <c r="V7" s="21">
        <v>4</v>
      </c>
      <c r="W7" s="561">
        <f>V7*'G-3 Multipliers'!$Z$5</f>
        <v>0.14649984000000002</v>
      </c>
    </row>
    <row r="8" spans="1:23" ht="18" customHeight="1" x14ac:dyDescent="0.5">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25">
      <c r="B9" s="2"/>
      <c r="C9" s="2"/>
      <c r="D9" s="3"/>
      <c r="E9" s="3"/>
      <c r="F9" s="4"/>
      <c r="G9" s="4"/>
      <c r="H9" s="4"/>
      <c r="I9" s="4"/>
      <c r="J9" s="4"/>
      <c r="K9" s="4"/>
      <c r="L9" s="4"/>
      <c r="M9" s="4"/>
      <c r="N9" s="4"/>
      <c r="O9" s="4"/>
      <c r="P9" s="4"/>
      <c r="Q9" s="626" t="s">
        <v>25</v>
      </c>
      <c r="R9" s="652">
        <f t="shared" ref="R9:W9" si="0">SUM(R6:R8)</f>
        <v>0</v>
      </c>
      <c r="S9" s="560">
        <f t="shared" si="0"/>
        <v>0</v>
      </c>
      <c r="T9" s="652">
        <f t="shared" si="0"/>
        <v>62</v>
      </c>
      <c r="U9" s="560">
        <f t="shared" si="0"/>
        <v>1.9451923200000003</v>
      </c>
      <c r="V9" s="652">
        <f t="shared" si="0"/>
        <v>7</v>
      </c>
      <c r="W9" s="560">
        <f t="shared" si="0"/>
        <v>0.15870816000000001</v>
      </c>
    </row>
    <row r="10" spans="1:23" ht="30" customHeight="1" x14ac:dyDescent="0.35">
      <c r="B10" s="2"/>
      <c r="C10" s="2"/>
      <c r="D10" s="5"/>
      <c r="E10" s="5"/>
      <c r="F10" s="715"/>
      <c r="G10" s="715"/>
      <c r="H10" s="715"/>
      <c r="I10" s="715"/>
      <c r="J10" s="715"/>
      <c r="K10" s="715"/>
      <c r="L10" s="715"/>
      <c r="M10" s="715"/>
      <c r="N10" s="715"/>
      <c r="O10" s="715"/>
      <c r="P10" s="715"/>
    </row>
    <row r="11" spans="1:23" ht="16.5" customHeight="1" x14ac:dyDescent="0.25">
      <c r="B11" s="2"/>
      <c r="C11" s="2"/>
    </row>
    <row r="12" spans="1:23" ht="16.5" customHeight="1" x14ac:dyDescent="0.25">
      <c r="B12" s="2"/>
      <c r="C12" s="2"/>
    </row>
    <row r="13" spans="1:23" ht="16.5" customHeight="1" x14ac:dyDescent="0.25">
      <c r="B13" s="2"/>
      <c r="C13" s="2"/>
    </row>
    <row r="14" spans="1:23" ht="16.5" customHeight="1" x14ac:dyDescent="0.25">
      <c r="B14" s="2"/>
      <c r="C14" s="2"/>
    </row>
    <row r="15" spans="1:23" ht="16.5" customHeight="1" x14ac:dyDescent="0.25">
      <c r="B15" s="2"/>
      <c r="C15" s="2"/>
    </row>
    <row r="16" spans="1:23"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89.45" customHeight="1"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8.600000000000001" customHeight="1" x14ac:dyDescent="0.25"/>
    <row r="53" ht="15" hidden="1" x14ac:dyDescent="0.2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F1:J1"/>
    <mergeCell ref="K1:O1"/>
    <mergeCell ref="F10:P10"/>
    <mergeCell ref="Q4:Q5"/>
    <mergeCell ref="D2:E2"/>
    <mergeCell ref="R4:W4"/>
    <mergeCell ref="Q3:S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40625" style="253" customWidth="1"/>
    <col min="4" max="4" width="18.7109375" style="253" customWidth="1"/>
    <col min="5" max="8" width="9.140625" style="253" customWidth="1"/>
    <col min="9" max="9" width="7" style="253" customWidth="1"/>
    <col min="10" max="12" width="9.140625" style="253" customWidth="1"/>
    <col min="13" max="13" width="12.140625" style="253" customWidth="1"/>
    <col min="14" max="14" width="5.7109375" style="253" customWidth="1"/>
    <col min="15" max="15" width="9.140625" style="253" customWidth="1"/>
    <col min="16" max="16" width="34.5703125" style="253" customWidth="1"/>
    <col min="17" max="17" width="13.7109375" style="253" bestFit="1" customWidth="1"/>
    <col min="18" max="18" width="19.28515625" style="253" customWidth="1"/>
    <col min="19" max="31" width="9.140625" style="253" customWidth="1"/>
    <col min="32" max="16384" width="9.140625" style="253" hidden="1"/>
  </cols>
  <sheetData>
    <row r="1" spans="1:18" ht="15.75" customHeight="1" x14ac:dyDescent="0.4">
      <c r="B1" s="254"/>
      <c r="C1" s="254"/>
      <c r="E1" s="255"/>
      <c r="F1" s="725"/>
      <c r="G1" s="725"/>
      <c r="H1" s="725"/>
      <c r="I1" s="725"/>
      <c r="J1" s="725"/>
      <c r="K1" s="726"/>
      <c r="L1" s="726"/>
      <c r="M1" s="726"/>
      <c r="N1" s="726"/>
      <c r="O1" s="726"/>
    </row>
    <row r="2" spans="1:18" ht="15.75" customHeight="1" x14ac:dyDescent="0.4">
      <c r="B2" s="254"/>
      <c r="C2" s="254"/>
      <c r="E2" s="255"/>
    </row>
    <row r="3" spans="1:18" ht="15.75" customHeight="1" x14ac:dyDescent="0.4">
      <c r="A3" s="255"/>
      <c r="B3" s="255"/>
      <c r="C3" s="255"/>
      <c r="D3" s="255"/>
      <c r="E3" s="255"/>
      <c r="F3" s="256"/>
      <c r="G3" s="256"/>
      <c r="H3" s="256"/>
      <c r="I3" s="256"/>
      <c r="J3" s="256"/>
      <c r="K3" s="256"/>
      <c r="L3" s="256"/>
      <c r="M3" s="256"/>
      <c r="N3" s="256"/>
      <c r="O3" s="256"/>
      <c r="P3" s="256"/>
    </row>
    <row r="4" spans="1:18" ht="16.5" customHeight="1" x14ac:dyDescent="0.4">
      <c r="A4" s="255"/>
      <c r="B4" s="255"/>
      <c r="C4" s="255"/>
      <c r="D4" s="255"/>
      <c r="E4" s="255"/>
      <c r="F4" s="256"/>
      <c r="G4" s="256"/>
      <c r="H4" s="256"/>
      <c r="I4" s="256"/>
      <c r="J4" s="256"/>
      <c r="K4" s="256"/>
      <c r="L4" s="256"/>
      <c r="M4" s="256"/>
      <c r="N4" s="256"/>
      <c r="O4" s="256"/>
      <c r="P4" s="256"/>
    </row>
    <row r="5" spans="1:18" ht="16.5" customHeight="1" x14ac:dyDescent="0.4">
      <c r="A5" s="255"/>
      <c r="B5" s="255"/>
      <c r="C5" s="255"/>
      <c r="D5" s="255"/>
      <c r="E5" s="255"/>
      <c r="F5" s="257"/>
      <c r="G5" s="257"/>
      <c r="H5" s="257"/>
      <c r="I5" s="257"/>
      <c r="J5" s="257"/>
      <c r="K5" s="257"/>
      <c r="L5" s="257"/>
      <c r="M5" s="257"/>
      <c r="N5" s="257"/>
      <c r="O5" s="257"/>
      <c r="P5" s="257"/>
      <c r="Q5" s="257"/>
      <c r="R5" s="257"/>
    </row>
    <row r="6" spans="1:18" ht="16.5" customHeight="1" x14ac:dyDescent="0.4">
      <c r="B6" s="254"/>
      <c r="C6" s="254"/>
      <c r="D6" s="255"/>
      <c r="E6" s="255"/>
      <c r="F6" s="257"/>
      <c r="G6" s="257"/>
      <c r="H6" s="257"/>
      <c r="I6" s="257"/>
      <c r="J6" s="257"/>
      <c r="K6" s="257"/>
      <c r="L6" s="257"/>
      <c r="M6" s="257"/>
      <c r="N6" s="257"/>
      <c r="O6" s="257"/>
      <c r="P6" s="257"/>
      <c r="Q6" s="257"/>
      <c r="R6" s="257"/>
    </row>
    <row r="7" spans="1:18" ht="16.5" customHeight="1" x14ac:dyDescent="0.4">
      <c r="B7" s="254"/>
      <c r="C7" s="255"/>
      <c r="D7" s="255"/>
      <c r="E7" s="255"/>
      <c r="F7" s="257"/>
      <c r="G7" s="257"/>
      <c r="H7" s="257"/>
      <c r="I7" s="257"/>
      <c r="J7" s="257"/>
      <c r="K7" s="257"/>
      <c r="L7" s="257"/>
      <c r="M7" s="257"/>
      <c r="N7" s="257"/>
      <c r="O7" s="257"/>
      <c r="P7" s="257"/>
      <c r="Q7" s="257"/>
      <c r="R7" s="257"/>
    </row>
    <row r="8" spans="1:18" ht="16.5" customHeight="1" x14ac:dyDescent="0.4">
      <c r="B8" s="254"/>
      <c r="C8" s="254"/>
      <c r="D8" s="255"/>
      <c r="E8" s="255"/>
      <c r="F8" s="257"/>
      <c r="G8" s="257"/>
      <c r="H8" s="257"/>
      <c r="I8" s="257"/>
      <c r="J8" s="257"/>
      <c r="K8" s="257"/>
      <c r="L8" s="257"/>
      <c r="M8" s="257"/>
      <c r="N8" s="257"/>
      <c r="O8" s="257"/>
      <c r="P8" s="257"/>
      <c r="Q8" s="257"/>
      <c r="R8" s="257"/>
    </row>
    <row r="9" spans="1:18" ht="16.5" customHeight="1" x14ac:dyDescent="0.25">
      <c r="B9" s="254"/>
      <c r="C9" s="254"/>
      <c r="D9" s="258"/>
      <c r="E9" s="258"/>
      <c r="F9" s="257"/>
      <c r="G9" s="257"/>
      <c r="H9" s="257"/>
      <c r="I9" s="257"/>
      <c r="J9" s="257"/>
      <c r="K9" s="257"/>
      <c r="L9" s="257"/>
      <c r="M9" s="257"/>
      <c r="N9" s="257"/>
      <c r="O9" s="257"/>
      <c r="P9" s="257"/>
      <c r="Q9" s="257"/>
      <c r="R9" s="257"/>
    </row>
    <row r="10" spans="1:18" ht="30" customHeight="1" x14ac:dyDescent="0.3">
      <c r="B10" s="254"/>
      <c r="C10" s="254"/>
      <c r="D10" s="727"/>
      <c r="E10" s="727"/>
      <c r="F10" s="727"/>
      <c r="G10" s="727"/>
      <c r="H10" s="727"/>
      <c r="I10" s="727"/>
      <c r="J10" s="727"/>
      <c r="K10" s="727"/>
      <c r="L10" s="727"/>
      <c r="M10" s="727"/>
    </row>
    <row r="11" spans="1:18" ht="16.5" customHeight="1" x14ac:dyDescent="0.25">
      <c r="B11" s="254"/>
      <c r="C11" s="254"/>
    </row>
    <row r="12" spans="1:18" ht="16.5" customHeight="1" x14ac:dyDescent="0.25">
      <c r="B12" s="254"/>
      <c r="C12" s="254"/>
    </row>
    <row r="13" spans="1:18" ht="16.5" customHeight="1" x14ac:dyDescent="0.25">
      <c r="B13" s="254"/>
      <c r="C13" s="254"/>
    </row>
    <row r="14" spans="1:18" ht="16.5" customHeight="1" x14ac:dyDescent="0.25">
      <c r="B14" s="254"/>
      <c r="C14" s="254"/>
    </row>
    <row r="15" spans="1:18" ht="16.5" customHeight="1" x14ac:dyDescent="0.25">
      <c r="B15" s="254"/>
      <c r="C15" s="25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row r="53" ht="15"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zoomScale="70" zoomScaleNormal="70" workbookViewId="0">
      <selection activeCell="N27" sqref="N27"/>
    </sheetView>
  </sheetViews>
  <sheetFormatPr defaultColWidth="0" defaultRowHeight="15" zeroHeight="1" x14ac:dyDescent="0.25"/>
  <cols>
    <col min="1" max="1" width="4.28515625" style="22" customWidth="1"/>
    <col min="2" max="2" width="31.42578125" style="22" customWidth="1"/>
    <col min="3" max="3" width="13.855468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12.5703125" style="22" customWidth="1"/>
    <col min="11" max="11" width="33.140625" style="22" bestFit="1" customWidth="1"/>
    <col min="12" max="14" width="15" style="22" customWidth="1"/>
    <col min="15" max="15" width="8.85546875" style="22" customWidth="1"/>
    <col min="16" max="16" width="14.5703125" style="22" bestFit="1" customWidth="1"/>
    <col min="17" max="17" width="14" style="22" customWidth="1"/>
    <col min="18" max="18" width="12.28515625" style="22" customWidth="1"/>
    <col min="19" max="19" width="13.42578125" style="22" hidden="1" customWidth="1"/>
    <col min="20" max="20" width="10.5703125" style="22" hidden="1" customWidth="1"/>
    <col min="21" max="30" width="8.85546875" style="22" hidden="1" customWidth="1"/>
    <col min="31" max="31" width="12.140625" style="22" hidden="1" customWidth="1"/>
    <col min="32" max="51" width="0" style="22" hidden="1" customWidth="1"/>
    <col min="52" max="16384" width="8.85546875" style="22" hidden="1"/>
  </cols>
  <sheetData>
    <row r="1" spans="2:22" ht="15.75" customHeight="1" thickBot="1" x14ac:dyDescent="0.3"/>
    <row r="2" spans="2:22" ht="19.149999999999999" customHeight="1" thickBot="1" x14ac:dyDescent="0.3">
      <c r="B2" s="743" t="str">
        <f>IF(Start!$F$12="","",Start!$F$12)</f>
        <v/>
      </c>
      <c r="C2" s="744"/>
      <c r="D2" s="745"/>
    </row>
    <row r="3" spans="2:22" ht="15.75" customHeight="1" x14ac:dyDescent="0.25">
      <c r="B3" s="728" t="str">
        <f ca="1">MID(CELL("filename",A1),FIND("]",CELL("filename",A1))+1,256)</f>
        <v>Headline Results</v>
      </c>
      <c r="C3" s="729"/>
      <c r="D3" s="730"/>
    </row>
    <row r="4" spans="2:22" ht="15.75" customHeight="1" thickBot="1" x14ac:dyDescent="0.3">
      <c r="B4" s="731"/>
      <c r="C4" s="732"/>
      <c r="D4" s="733"/>
    </row>
    <row r="5" spans="2:22" ht="9.9499999999999993" customHeight="1" x14ac:dyDescent="0.25"/>
    <row r="6" spans="2:22" ht="9.9499999999999993" customHeight="1" x14ac:dyDescent="0.4">
      <c r="B6" s="734"/>
      <c r="C6" s="734"/>
      <c r="K6" s="23"/>
      <c r="L6" s="23"/>
      <c r="M6" s="23"/>
      <c r="N6" s="23"/>
    </row>
    <row r="7" spans="2:22" ht="9.9499999999999993" customHeight="1" thickBot="1" x14ac:dyDescent="0.45">
      <c r="B7" s="24"/>
      <c r="C7" s="24"/>
      <c r="K7" s="23"/>
      <c r="L7" s="23"/>
      <c r="M7" s="23"/>
      <c r="N7" s="23"/>
      <c r="O7" s="25"/>
      <c r="Q7" s="25"/>
      <c r="R7" s="25"/>
    </row>
    <row r="8" spans="2:22" ht="21.95" customHeight="1" x14ac:dyDescent="0.4">
      <c r="B8" s="735" t="s">
        <v>26</v>
      </c>
      <c r="C8" s="736"/>
      <c r="D8" s="736"/>
      <c r="E8" s="736"/>
      <c r="F8" s="741" t="s">
        <v>27</v>
      </c>
      <c r="G8" s="742"/>
      <c r="H8" s="746">
        <f>IFERROR('A-1 Site Habitat Baseline'!Q259,"Check Data ⚠")</f>
        <v>38.052</v>
      </c>
      <c r="I8" s="747"/>
      <c r="J8" s="26"/>
      <c r="K8" s="23"/>
      <c r="L8" s="23"/>
      <c r="M8" s="23"/>
      <c r="N8" s="23"/>
      <c r="O8" s="25"/>
      <c r="P8" s="25"/>
      <c r="Q8" s="25"/>
      <c r="R8" s="25"/>
      <c r="S8" s="25"/>
    </row>
    <row r="9" spans="2:22" ht="21.95" customHeight="1" x14ac:dyDescent="0.4">
      <c r="B9" s="737"/>
      <c r="C9" s="738"/>
      <c r="D9" s="738"/>
      <c r="E9" s="738"/>
      <c r="F9" s="748" t="s">
        <v>28</v>
      </c>
      <c r="G9" s="749"/>
      <c r="H9" s="750">
        <f>IFERROR('B-1 Site Hedge Baseline'!N258,"Check Data ⚠")</f>
        <v>0</v>
      </c>
      <c r="I9" s="751"/>
      <c r="K9" s="23"/>
      <c r="L9" s="23"/>
      <c r="M9" s="23"/>
      <c r="N9" s="23"/>
    </row>
    <row r="10" spans="2:22" ht="21.95" customHeight="1" thickBot="1" x14ac:dyDescent="0.45">
      <c r="B10" s="739"/>
      <c r="C10" s="740"/>
      <c r="D10" s="740"/>
      <c r="E10" s="740"/>
      <c r="F10" s="752" t="s">
        <v>29</v>
      </c>
      <c r="G10" s="753"/>
      <c r="H10" s="754">
        <f>'C-1 Site River Baseline'!R258</f>
        <v>0</v>
      </c>
      <c r="I10" s="755"/>
      <c r="K10" s="23"/>
      <c r="L10" s="23"/>
      <c r="M10" s="23"/>
      <c r="N10" s="23"/>
    </row>
    <row r="11" spans="2:22" ht="4.5" customHeight="1" thickBot="1" x14ac:dyDescent="0.45">
      <c r="H11" s="311"/>
      <c r="I11" s="311"/>
      <c r="K11" s="23"/>
      <c r="L11" s="23"/>
      <c r="M11" s="23"/>
      <c r="N11" s="23"/>
    </row>
    <row r="12" spans="2:22" ht="21.95" customHeight="1" x14ac:dyDescent="0.4">
      <c r="B12" s="735" t="s">
        <v>30</v>
      </c>
      <c r="C12" s="736"/>
      <c r="D12" s="736"/>
      <c r="E12" s="758"/>
      <c r="F12" s="741" t="s">
        <v>27</v>
      </c>
      <c r="G12" s="742"/>
      <c r="H12" s="761">
        <f>IFERROR('A-2 Site Habitat Creation'!Y257+'A-3 Site Habitat Enhancement'!AN258+'A-1 Site Habitat Baseline'!U259,"Check Data ⚠")</f>
        <v>38.105156050688002</v>
      </c>
      <c r="I12" s="762"/>
      <c r="K12" s="23"/>
      <c r="L12" s="23"/>
      <c r="M12" s="23"/>
      <c r="N12" s="23"/>
      <c r="U12" s="734"/>
      <c r="V12" s="734"/>
    </row>
    <row r="13" spans="2:22" ht="21.95" customHeight="1" x14ac:dyDescent="0.4">
      <c r="B13" s="737"/>
      <c r="C13" s="738"/>
      <c r="D13" s="738"/>
      <c r="E13" s="759"/>
      <c r="F13" s="748" t="s">
        <v>28</v>
      </c>
      <c r="G13" s="749"/>
      <c r="H13" s="763">
        <f>IFERROR('B-2 Site Hedge Creation'!W260+'B-3 Site Hedge Enhancement'!AH258+'B-1 Site Hedge Baseline'!R258,"Check Data⚠")</f>
        <v>0</v>
      </c>
      <c r="I13" s="764"/>
      <c r="K13" s="23"/>
      <c r="L13" s="23"/>
      <c r="M13" s="23"/>
      <c r="N13" s="23"/>
      <c r="U13" s="734"/>
      <c r="V13" s="734"/>
    </row>
    <row r="14" spans="2:22" ht="21.95" customHeight="1" thickBot="1" x14ac:dyDescent="0.45">
      <c r="B14" s="739"/>
      <c r="C14" s="740"/>
      <c r="D14" s="740"/>
      <c r="E14" s="760"/>
      <c r="F14" s="752" t="s">
        <v>29</v>
      </c>
      <c r="G14" s="753"/>
      <c r="H14" s="754">
        <f>IFERROR('C-2 Site River Creation'!Z260 + 'C-3 Site River Enhancement'!AM258+'C-1 Site River Baseline'!V258,"Check Data ⚠")</f>
        <v>0</v>
      </c>
      <c r="I14" s="755"/>
      <c r="K14" s="23"/>
      <c r="L14" s="23"/>
      <c r="M14" s="23"/>
      <c r="N14" s="23"/>
    </row>
    <row r="15" spans="2:22" ht="4.5" customHeight="1" thickBot="1" x14ac:dyDescent="0.45">
      <c r="B15" s="453"/>
      <c r="C15" s="453"/>
      <c r="D15" s="453"/>
      <c r="E15" s="453"/>
      <c r="F15" s="454"/>
      <c r="G15" s="454"/>
      <c r="H15" s="455"/>
      <c r="I15" s="455"/>
      <c r="K15" s="23"/>
      <c r="L15" s="23"/>
      <c r="M15" s="23"/>
      <c r="N15" s="23"/>
    </row>
    <row r="16" spans="2:22" ht="21.95" customHeight="1" x14ac:dyDescent="0.4">
      <c r="B16" s="735" t="s">
        <v>31</v>
      </c>
      <c r="C16" s="736"/>
      <c r="D16" s="736"/>
      <c r="E16" s="758"/>
      <c r="F16" s="741" t="s">
        <v>27</v>
      </c>
      <c r="G16" s="742"/>
      <c r="H16" s="781">
        <f>IF(H8=0,0,IF(AND(H8=0,H12&gt;0),1,IFERROR((H12/H8)-1,"Check Data ⚠")))</f>
        <v>1.396931848207883E-3</v>
      </c>
      <c r="I16" s="782"/>
      <c r="J16" s="456"/>
      <c r="K16" s="23"/>
      <c r="L16" s="23"/>
      <c r="M16" s="23"/>
      <c r="N16" s="23"/>
    </row>
    <row r="17" spans="2:14" ht="21.95" customHeight="1" x14ac:dyDescent="0.4">
      <c r="B17" s="737"/>
      <c r="C17" s="738"/>
      <c r="D17" s="738"/>
      <c r="E17" s="759"/>
      <c r="F17" s="748" t="s">
        <v>28</v>
      </c>
      <c r="G17" s="749"/>
      <c r="H17" s="783">
        <f>IF(H9=0,0,IF(AND(H9=0,H13&gt;0),1,IFERROR((H13/H9)-1,"Check Data ⚠")))</f>
        <v>0</v>
      </c>
      <c r="I17" s="784"/>
      <c r="K17" s="23"/>
      <c r="L17" s="23"/>
      <c r="M17" s="23"/>
      <c r="N17" s="23"/>
    </row>
    <row r="18" spans="2:14" ht="21.95" customHeight="1" thickBot="1" x14ac:dyDescent="0.45">
      <c r="B18" s="739"/>
      <c r="C18" s="740"/>
      <c r="D18" s="740"/>
      <c r="E18" s="760"/>
      <c r="F18" s="752" t="s">
        <v>29</v>
      </c>
      <c r="G18" s="785"/>
      <c r="H18" s="786">
        <f>IF(H10=0,0,IF(AND(H10=0,H14&gt;0),1,IFERROR((H14/H10)-1,"Check Data ⚠")))</f>
        <v>0</v>
      </c>
      <c r="I18" s="787"/>
      <c r="K18" s="23"/>
      <c r="L18" s="23"/>
      <c r="M18" s="23"/>
      <c r="N18" s="23"/>
    </row>
    <row r="19" spans="2:14" ht="24.95" customHeight="1" thickBot="1" x14ac:dyDescent="0.45">
      <c r="H19" s="311"/>
      <c r="I19" s="311"/>
      <c r="K19" s="23"/>
      <c r="L19" s="23"/>
      <c r="M19" s="23"/>
      <c r="N19" s="23"/>
    </row>
    <row r="20" spans="2:14" ht="21.95" customHeight="1" x14ac:dyDescent="0.4">
      <c r="B20" s="735" t="s">
        <v>32</v>
      </c>
      <c r="C20" s="736"/>
      <c r="D20" s="736"/>
      <c r="E20" s="736"/>
      <c r="F20" s="741" t="s">
        <v>27</v>
      </c>
      <c r="G20" s="742"/>
      <c r="H20" s="765">
        <f>IFERROR('D-1 Off Site Habitat Baseline'!Q259,"Check Data ⚠")</f>
        <v>0</v>
      </c>
      <c r="I20" s="766"/>
      <c r="K20" s="23"/>
      <c r="L20" s="23"/>
      <c r="M20" s="23"/>
      <c r="N20" s="23"/>
    </row>
    <row r="21" spans="2:14" ht="21.95" customHeight="1" x14ac:dyDescent="0.4">
      <c r="B21" s="737"/>
      <c r="C21" s="738"/>
      <c r="D21" s="738"/>
      <c r="E21" s="738"/>
      <c r="F21" s="748" t="s">
        <v>28</v>
      </c>
      <c r="G21" s="749"/>
      <c r="H21" s="767">
        <f>IFERROR('E-1 Off Site Hedge Baseline'!N258,"Check Data ⚠")</f>
        <v>0</v>
      </c>
      <c r="I21" s="768"/>
      <c r="K21" s="23"/>
      <c r="L21" s="23"/>
      <c r="M21" s="23"/>
      <c r="N21" s="23"/>
    </row>
    <row r="22" spans="2:14" ht="21.95" customHeight="1" thickBot="1" x14ac:dyDescent="0.45">
      <c r="B22" s="739"/>
      <c r="C22" s="740"/>
      <c r="D22" s="740"/>
      <c r="E22" s="740"/>
      <c r="F22" s="752" t="s">
        <v>29</v>
      </c>
      <c r="G22" s="753"/>
      <c r="H22" s="756">
        <f>IFERROR('F-1 Off Site River Baseline'!R258,"Check Data ⚠")</f>
        <v>0</v>
      </c>
      <c r="I22" s="757"/>
      <c r="K22" s="23"/>
      <c r="L22" s="23"/>
      <c r="M22" s="23"/>
      <c r="N22" s="23"/>
    </row>
    <row r="23" spans="2:14" ht="4.5" customHeight="1" thickBot="1" x14ac:dyDescent="0.45">
      <c r="H23" s="311"/>
      <c r="I23" s="311"/>
      <c r="K23" s="23"/>
      <c r="L23" s="23"/>
      <c r="M23" s="23"/>
      <c r="N23" s="23"/>
    </row>
    <row r="24" spans="2:14" ht="21.95" customHeight="1" x14ac:dyDescent="0.4">
      <c r="B24" s="735" t="s">
        <v>33</v>
      </c>
      <c r="C24" s="736"/>
      <c r="D24" s="736"/>
      <c r="E24" s="758"/>
      <c r="F24" s="741" t="s">
        <v>27</v>
      </c>
      <c r="G24" s="742"/>
      <c r="H24" s="761">
        <f>IFERROR('D-1 Off Site Habitat Baseline'!$U$259+'D-2 Off Site Habitat Creation'!AA257+'D-3 Off Site Habitat Enhancment'!AP259,"Check Data ⚠")</f>
        <v>0</v>
      </c>
      <c r="I24" s="762"/>
      <c r="K24" s="23"/>
      <c r="L24" s="23"/>
      <c r="M24" s="23"/>
      <c r="N24" s="23"/>
    </row>
    <row r="25" spans="2:14" ht="21.95" customHeight="1" x14ac:dyDescent="0.4">
      <c r="B25" s="737"/>
      <c r="C25" s="738"/>
      <c r="D25" s="738"/>
      <c r="E25" s="759"/>
      <c r="F25" s="748" t="s">
        <v>28</v>
      </c>
      <c r="G25" s="749"/>
      <c r="H25" s="769">
        <f>IFERROR('E-1 Off Site Hedge Baseline'!R258+'E-2 Off Site Hedge Creation'!Y260+'E-3 Off Site Hedge Enhancement'!AJ258,"Check Data ⚠")</f>
        <v>0</v>
      </c>
      <c r="I25" s="764"/>
      <c r="K25" s="23"/>
      <c r="L25" s="23"/>
      <c r="M25" s="23"/>
      <c r="N25" s="23"/>
    </row>
    <row r="26" spans="2:14" ht="21.95" customHeight="1" thickBot="1" x14ac:dyDescent="0.45">
      <c r="B26" s="739"/>
      <c r="C26" s="740"/>
      <c r="D26" s="740"/>
      <c r="E26" s="760"/>
      <c r="F26" s="752" t="s">
        <v>29</v>
      </c>
      <c r="G26" s="753"/>
      <c r="H26" s="754">
        <f>IFERROR('F-1 Off Site River Baseline'!V258+'F-2 Off Site River Creation'!AB260+'F-3 Off Site River Enhancement'!AO258,"Check Data ⚠")</f>
        <v>0</v>
      </c>
      <c r="I26" s="755"/>
      <c r="K26" s="23"/>
      <c r="L26" s="23"/>
      <c r="M26" s="23"/>
      <c r="N26" s="23"/>
    </row>
    <row r="27" spans="2:14" ht="24.95" customHeight="1" thickBot="1" x14ac:dyDescent="0.45">
      <c r="H27" s="311"/>
      <c r="I27" s="311"/>
      <c r="K27" s="23"/>
      <c r="L27" s="23"/>
      <c r="M27" s="23"/>
      <c r="N27" s="23"/>
    </row>
    <row r="28" spans="2:14" ht="21.95" customHeight="1" x14ac:dyDescent="0.4">
      <c r="B28" s="735" t="s">
        <v>34</v>
      </c>
      <c r="C28" s="736"/>
      <c r="D28" s="736"/>
      <c r="E28" s="758"/>
      <c r="F28" s="741" t="s">
        <v>27</v>
      </c>
      <c r="G28" s="742"/>
      <c r="H28" s="761">
        <f>IFERROR((H12-H8)+((H24-H20)),"Check Data ⚠")</f>
        <v>5.3156050688002665E-2</v>
      </c>
      <c r="I28" s="762"/>
      <c r="J28" s="776"/>
      <c r="K28" s="777"/>
      <c r="L28" s="23"/>
      <c r="M28" s="23"/>
      <c r="N28" s="23"/>
    </row>
    <row r="29" spans="2:14" ht="21.95" customHeight="1" x14ac:dyDescent="0.4">
      <c r="B29" s="737"/>
      <c r="C29" s="738"/>
      <c r="D29" s="738"/>
      <c r="E29" s="759"/>
      <c r="F29" s="748" t="s">
        <v>28</v>
      </c>
      <c r="G29" s="749"/>
      <c r="H29" s="769">
        <f>IFERROR((H13-H9)+((H25-H21)),"Check Data ⚠")</f>
        <v>0</v>
      </c>
      <c r="I29" s="764"/>
      <c r="J29" s="776"/>
      <c r="K29" s="777"/>
      <c r="L29" s="23"/>
      <c r="M29" s="23"/>
      <c r="N29" s="23"/>
    </row>
    <row r="30" spans="2:14" ht="21.95" customHeight="1" thickBot="1" x14ac:dyDescent="0.45">
      <c r="B30" s="739"/>
      <c r="C30" s="740"/>
      <c r="D30" s="740"/>
      <c r="E30" s="760"/>
      <c r="F30" s="752" t="s">
        <v>29</v>
      </c>
      <c r="G30" s="753"/>
      <c r="H30" s="754">
        <f>IFERROR((H14-H10)+((H26-H22)),"Check Data ⚠")</f>
        <v>0</v>
      </c>
      <c r="I30" s="755"/>
      <c r="J30" s="776"/>
      <c r="K30" s="777"/>
      <c r="L30" s="23"/>
      <c r="M30" s="23"/>
      <c r="N30" s="23"/>
    </row>
    <row r="31" spans="2:14" ht="4.5" customHeight="1" thickBot="1" x14ac:dyDescent="0.45">
      <c r="H31" s="312"/>
      <c r="I31" s="312"/>
      <c r="K31" s="23"/>
      <c r="L31" s="23"/>
      <c r="M31" s="23"/>
      <c r="N31" s="23"/>
    </row>
    <row r="32" spans="2:14" ht="21.95" customHeight="1" x14ac:dyDescent="0.4">
      <c r="B32" s="735" t="s">
        <v>35</v>
      </c>
      <c r="C32" s="736"/>
      <c r="D32" s="736"/>
      <c r="E32" s="758"/>
      <c r="F32" s="741" t="s">
        <v>27</v>
      </c>
      <c r="G32" s="742"/>
      <c r="H32" s="781">
        <f>IF(H28=0,0,IF(AND(H8=0,H20=0,H28&gt;0),1,IFERROR((H28/H8),"Check Data ⚠")))</f>
        <v>1.3969318482077858E-3</v>
      </c>
      <c r="I32" s="782"/>
      <c r="J32" s="776"/>
      <c r="K32" s="777"/>
      <c r="L32" s="23"/>
      <c r="M32" s="23"/>
      <c r="N32" s="23"/>
    </row>
    <row r="33" spans="1:33" ht="21.95" customHeight="1" x14ac:dyDescent="0.4">
      <c r="A33" s="27"/>
      <c r="B33" s="737"/>
      <c r="C33" s="738"/>
      <c r="D33" s="738"/>
      <c r="E33" s="759"/>
      <c r="F33" s="748" t="s">
        <v>28</v>
      </c>
      <c r="G33" s="749"/>
      <c r="H33" s="783">
        <f>IF(H29=0,0,IF(AND(H9=0,H21=0,H29&gt;0),1,IFERROR((H29/H9),"Check Data ⚠")))</f>
        <v>0</v>
      </c>
      <c r="I33" s="784"/>
      <c r="J33" s="776"/>
      <c r="K33" s="777"/>
      <c r="L33" s="23"/>
      <c r="M33" s="23"/>
      <c r="N33" s="23"/>
    </row>
    <row r="34" spans="1:33" ht="21.95" customHeight="1" thickBot="1" x14ac:dyDescent="0.45">
      <c r="A34" s="27"/>
      <c r="B34" s="739"/>
      <c r="C34" s="740"/>
      <c r="D34" s="740"/>
      <c r="E34" s="760"/>
      <c r="F34" s="752" t="s">
        <v>29</v>
      </c>
      <c r="G34" s="785"/>
      <c r="H34" s="786">
        <f>IF(H30=0,0,IF(AND(H10=0,H22=0,H30&gt;0),1,IFERROR((H30/H10),"Check Data ⚠")))</f>
        <v>0</v>
      </c>
      <c r="I34" s="787"/>
      <c r="J34" s="778"/>
      <c r="K34" s="779"/>
      <c r="L34" s="23"/>
      <c r="M34" s="23"/>
      <c r="N34" s="23"/>
    </row>
    <row r="35" spans="1:33" ht="24.95" customHeight="1" thickBot="1" x14ac:dyDescent="0.45">
      <c r="B35" s="780"/>
      <c r="C35" s="780"/>
      <c r="D35" s="780"/>
      <c r="F35" s="28"/>
      <c r="G35" s="28"/>
      <c r="H35" s="28"/>
      <c r="I35" s="28"/>
      <c r="J35" s="28"/>
      <c r="K35" s="28"/>
      <c r="L35" s="28"/>
      <c r="M35" s="28"/>
    </row>
    <row r="36" spans="1:33" s="29" customFormat="1" ht="38.25" customHeight="1" thickBot="1" x14ac:dyDescent="0.3">
      <c r="B36" s="770" t="s">
        <v>36</v>
      </c>
      <c r="C36" s="771"/>
      <c r="D36" s="771"/>
      <c r="E36" s="772"/>
      <c r="F36" s="773" t="str">
        <f>IF(OR('Trading Summary'!G5="No ▲",'Trading Summary'!G6="No ▲",'Trading Summary'!G7="No ▲",'Trading Summary'!G8="No ▲"),"No - Check Trading Summary ▲","Yes ✓")</f>
        <v>Yes ✓</v>
      </c>
      <c r="G36" s="774"/>
      <c r="H36" s="774"/>
      <c r="I36" s="775"/>
      <c r="J36" s="30"/>
      <c r="K36" s="30"/>
      <c r="L36" s="30"/>
      <c r="M36" s="30"/>
      <c r="N36" s="22"/>
      <c r="O36" s="22"/>
      <c r="P36" s="22"/>
      <c r="Q36" s="22"/>
      <c r="X36" s="22"/>
      <c r="Y36" s="22"/>
      <c r="Z36" s="22"/>
      <c r="AA36" s="22"/>
      <c r="AB36" s="22"/>
      <c r="AC36" s="22"/>
      <c r="AD36" s="22"/>
      <c r="AE36" s="22"/>
      <c r="AF36" s="22"/>
      <c r="AG36" s="22"/>
    </row>
    <row r="37" spans="1:33" ht="15.75" x14ac:dyDescent="0.25">
      <c r="B37" s="30"/>
      <c r="C37" s="30"/>
      <c r="D37" s="30"/>
      <c r="E37" s="30"/>
      <c r="F37" s="30"/>
      <c r="G37" s="30"/>
      <c r="H37" s="30"/>
      <c r="I37" s="30"/>
      <c r="J37" s="30"/>
      <c r="K37" s="30"/>
      <c r="L37" s="30"/>
      <c r="M37" s="30"/>
      <c r="X37" s="29"/>
      <c r="Y37" s="29"/>
      <c r="Z37" s="29"/>
      <c r="AA37" s="29"/>
      <c r="AB37" s="29"/>
    </row>
    <row r="38" spans="1:33" ht="15.75" x14ac:dyDescent="0.25">
      <c r="B38" s="30"/>
      <c r="C38" s="30"/>
      <c r="D38" s="30"/>
      <c r="E38" s="30"/>
      <c r="F38" s="30"/>
      <c r="G38" s="30"/>
      <c r="H38" s="30"/>
      <c r="I38" s="30"/>
      <c r="J38" s="30"/>
      <c r="K38" s="30"/>
      <c r="L38" s="30"/>
      <c r="M38" s="30"/>
      <c r="X38" s="29"/>
      <c r="Y38" s="29"/>
      <c r="Z38" s="29"/>
      <c r="AA38" s="29"/>
      <c r="AB38" s="29"/>
    </row>
    <row r="39" spans="1:33" ht="15.75"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00000000000006" hidden="1" customHeight="1" x14ac:dyDescent="0.25"/>
    <row r="106" ht="29.45" hidden="1" customHeight="1" x14ac:dyDescent="0.25"/>
    <row r="109" x14ac:dyDescent="0.25"/>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5546875" defaultRowHeight="15" x14ac:dyDescent="0.25"/>
  <cols>
    <col min="1" max="1" width="4.28515625" style="31" customWidth="1"/>
    <col min="2" max="2" width="72.85546875" style="31" customWidth="1"/>
    <col min="3" max="3" width="13.85546875" style="31" customWidth="1"/>
    <col min="4" max="4" width="18.28515625" style="31" customWidth="1"/>
    <col min="5" max="5" width="16" style="31" customWidth="1"/>
    <col min="6" max="6" width="14.5703125" style="31" customWidth="1"/>
    <col min="7" max="7" width="12.42578125" style="31" customWidth="1"/>
    <col min="8" max="8" width="15.5703125" style="31" customWidth="1"/>
    <col min="9" max="9" width="16.140625" style="31" customWidth="1"/>
    <col min="10" max="10" width="20.28515625" style="31" customWidth="1"/>
    <col min="11" max="11" width="23.28515625" style="31" customWidth="1"/>
    <col min="12" max="12" width="28.28515625" style="31" customWidth="1"/>
    <col min="13" max="13" width="15" style="31" customWidth="1"/>
    <col min="14" max="14" width="16.28515625" style="31" customWidth="1"/>
    <col min="15" max="15" width="11.140625" style="31" customWidth="1"/>
    <col min="16" max="16" width="16.28515625" style="31" customWidth="1"/>
    <col min="17" max="17" width="14" style="31" customWidth="1"/>
    <col min="18" max="18" width="12.28515625" style="31" customWidth="1"/>
    <col min="19" max="19" width="13.42578125" style="31" customWidth="1"/>
    <col min="20" max="20" width="10.5703125" style="31" customWidth="1"/>
    <col min="21" max="30" width="8.85546875" style="31"/>
    <col min="31" max="31" width="12.140625" style="31" customWidth="1"/>
    <col min="32" max="16384" width="8.85546875" style="31"/>
  </cols>
  <sheetData>
    <row r="1" spans="2:19" ht="15.75" customHeight="1" thickBot="1" x14ac:dyDescent="0.3"/>
    <row r="2" spans="2:19" ht="22.15" customHeight="1" thickBot="1" x14ac:dyDescent="0.3">
      <c r="B2" s="832" t="str">
        <f>IF(Start!$F$12="","",Start!$F$12)</f>
        <v/>
      </c>
      <c r="C2" s="833"/>
      <c r="D2" s="834"/>
    </row>
    <row r="3" spans="2:19" ht="19.899999999999999" customHeight="1" x14ac:dyDescent="0.25">
      <c r="B3" s="728" t="str">
        <f ca="1">MID(CELL("filename",A1),FIND("]",CELL("filename",A1))+1,256)</f>
        <v>Detailed Results</v>
      </c>
      <c r="C3" s="729"/>
      <c r="D3" s="730"/>
    </row>
    <row r="4" spans="2:19" ht="21.6" customHeight="1" thickBot="1" x14ac:dyDescent="0.3">
      <c r="B4" s="731"/>
      <c r="C4" s="732"/>
      <c r="D4" s="733"/>
    </row>
    <row r="5" spans="2:19" ht="15.75" customHeight="1" x14ac:dyDescent="0.25"/>
    <row r="6" spans="2:19" ht="25.5" customHeight="1" thickBot="1" x14ac:dyDescent="0.3"/>
    <row r="7" spans="2:19" ht="18.75" customHeight="1" x14ac:dyDescent="0.25">
      <c r="B7" s="839" t="s">
        <v>37</v>
      </c>
      <c r="C7" s="840"/>
    </row>
    <row r="8" spans="2:19" ht="20.25" customHeight="1" thickBot="1" x14ac:dyDescent="0.3">
      <c r="B8" s="841"/>
      <c r="C8" s="842"/>
    </row>
    <row r="9" spans="2:19" ht="15.75" customHeight="1" thickBot="1" x14ac:dyDescent="0.45">
      <c r="B9" s="32"/>
      <c r="C9" s="32"/>
      <c r="O9" s="33"/>
      <c r="Q9" s="33"/>
      <c r="R9" s="33"/>
    </row>
    <row r="10" spans="2:19" ht="18" customHeight="1" x14ac:dyDescent="0.3">
      <c r="B10" s="735" t="s">
        <v>38</v>
      </c>
      <c r="C10" s="736"/>
      <c r="D10" s="736"/>
      <c r="E10" s="758"/>
      <c r="F10" s="845" t="s">
        <v>27</v>
      </c>
      <c r="G10" s="846"/>
      <c r="H10" s="843">
        <f>IFERROR('Headline Results'!$H$28:$I$28,"Check Data ⚠")</f>
        <v>5.3156050688002665E-2</v>
      </c>
      <c r="I10" s="844"/>
      <c r="J10" s="34"/>
      <c r="O10" s="33"/>
      <c r="P10" s="33"/>
      <c r="Q10" s="33"/>
      <c r="R10" s="33"/>
      <c r="S10" s="33"/>
    </row>
    <row r="11" spans="2:19" ht="15.75" customHeight="1" x14ac:dyDescent="0.3">
      <c r="B11" s="737"/>
      <c r="C11" s="738"/>
      <c r="D11" s="738"/>
      <c r="E11" s="759"/>
      <c r="F11" s="849" t="s">
        <v>28</v>
      </c>
      <c r="G11" s="856"/>
      <c r="H11" s="854">
        <f>IFERROR('Headline Results'!$H$29:$I$29,"Check Data ⚠")</f>
        <v>0</v>
      </c>
      <c r="I11" s="855"/>
    </row>
    <row r="12" spans="2:19" ht="18.600000000000001" customHeight="1" thickBot="1" x14ac:dyDescent="0.35">
      <c r="B12" s="739"/>
      <c r="C12" s="740"/>
      <c r="D12" s="740"/>
      <c r="E12" s="760"/>
      <c r="F12" s="835" t="s">
        <v>29</v>
      </c>
      <c r="G12" s="836"/>
      <c r="H12" s="837">
        <f>IFERROR('Headline Results'!$H$30:$I$30,"Check Data ⚠")</f>
        <v>0</v>
      </c>
      <c r="I12" s="838"/>
    </row>
    <row r="13" spans="2:19" ht="15.75" customHeight="1" thickBot="1" x14ac:dyDescent="0.3"/>
    <row r="14" spans="2:19" ht="18.75" customHeight="1" x14ac:dyDescent="0.25">
      <c r="B14" s="735" t="s">
        <v>39</v>
      </c>
      <c r="C14" s="736"/>
      <c r="D14" s="736"/>
      <c r="E14" s="758"/>
      <c r="F14" s="845" t="s">
        <v>27</v>
      </c>
      <c r="G14" s="853"/>
      <c r="H14" s="851">
        <f>IFERROR('Headline Results'!$H$32:$I$32,"Check Data ⚠")</f>
        <v>1.3969318482077858E-3</v>
      </c>
      <c r="I14" s="852"/>
    </row>
    <row r="15" spans="2:19" ht="18.75" customHeight="1" x14ac:dyDescent="0.25">
      <c r="B15" s="737"/>
      <c r="C15" s="738"/>
      <c r="D15" s="738"/>
      <c r="E15" s="759"/>
      <c r="F15" s="849" t="s">
        <v>28</v>
      </c>
      <c r="G15" s="850"/>
      <c r="H15" s="847">
        <f>IFERROR('Headline Results'!$H$33:$I$33,"Check Data ⚠")</f>
        <v>0</v>
      </c>
      <c r="I15" s="848"/>
    </row>
    <row r="16" spans="2:19" ht="18.75" customHeight="1" thickBot="1" x14ac:dyDescent="0.3">
      <c r="B16" s="739"/>
      <c r="C16" s="740"/>
      <c r="D16" s="740"/>
      <c r="E16" s="760"/>
      <c r="F16" s="835" t="s">
        <v>29</v>
      </c>
      <c r="G16" s="859"/>
      <c r="H16" s="857">
        <f>IFERROR('Headline Results'!$H$34:$I$34,"Check Data ⚠")</f>
        <v>0</v>
      </c>
      <c r="I16" s="858"/>
    </row>
    <row r="17" spans="2:9" ht="18.75" customHeight="1" thickBot="1" x14ac:dyDescent="0.3"/>
    <row r="18" spans="2:9" ht="25.5" customHeight="1" x14ac:dyDescent="0.25">
      <c r="B18" s="860" t="s">
        <v>40</v>
      </c>
      <c r="C18" s="860"/>
      <c r="D18" s="860"/>
      <c r="E18" s="860"/>
      <c r="F18" s="860"/>
      <c r="G18" s="860"/>
      <c r="H18" s="860"/>
      <c r="I18" s="860"/>
    </row>
    <row r="19" spans="2:9" ht="22.5" customHeight="1" thickBot="1" x14ac:dyDescent="0.3">
      <c r="B19" s="861"/>
      <c r="C19" s="861"/>
      <c r="D19" s="861"/>
      <c r="E19" s="861"/>
      <c r="F19" s="861"/>
      <c r="G19" s="861"/>
      <c r="H19" s="861"/>
      <c r="I19" s="861"/>
    </row>
    <row r="20" spans="2:9" ht="18.75" customHeight="1" thickBot="1" x14ac:dyDescent="0.45">
      <c r="B20" s="828"/>
      <c r="C20" s="828"/>
      <c r="D20" s="831" t="s">
        <v>41</v>
      </c>
      <c r="E20" s="831"/>
      <c r="F20" s="831" t="s">
        <v>42</v>
      </c>
      <c r="G20" s="831"/>
      <c r="H20" s="831" t="s">
        <v>43</v>
      </c>
      <c r="I20" s="831"/>
    </row>
    <row r="21" spans="2:9" ht="18.75" customHeight="1" x14ac:dyDescent="0.25">
      <c r="B21" s="789" t="s">
        <v>44</v>
      </c>
      <c r="C21" s="790"/>
      <c r="D21" s="829">
        <f>IF(AND($K$40=0,'A-1 Site Habitat Baseline'!Y11:Y258&lt;&gt;"No",'D-1 Off Site Habitat Baseline'!Y11:Y258&lt;&gt;"No"),'A-1 Site Habitat Baseline'!$H259+'D-1 Off Site Habitat Baseline'!H259,"Error ▲")</f>
        <v>4.74</v>
      </c>
      <c r="E21" s="829"/>
      <c r="F21" s="821">
        <f>'B-1 Site Hedge Baseline'!$E$258+'E-1 Off Site Hedge Baseline'!$E$258</f>
        <v>0</v>
      </c>
      <c r="G21" s="821"/>
      <c r="H21" s="821">
        <f>'C-1 Site River Baseline'!$E$258+'F-1 Off Site River Baseline'!$E$258</f>
        <v>0</v>
      </c>
      <c r="I21" s="822"/>
    </row>
    <row r="22" spans="2:9" ht="18.75" customHeight="1" thickBot="1" x14ac:dyDescent="0.3">
      <c r="B22" s="791" t="s">
        <v>45</v>
      </c>
      <c r="C22" s="792"/>
      <c r="D22" s="830">
        <f>IF(AND($K$40=0,'A-1 Site Habitat Baseline'!Y11:Y258&lt;&gt;"No",'D-1 Off Site Habitat Baseline'!Y11:Y258&lt;&gt;"No"),'A-1 Site Habitat Baseline'!$Q259+'D-1 Off Site Habitat Baseline'!Q259,"Error ▲")</f>
        <v>38.052</v>
      </c>
      <c r="E22" s="830"/>
      <c r="F22" s="823">
        <f>'B-1 Site Hedge Baseline'!$N$258+'E-1 Off Site Hedge Baseline'!$N$258</f>
        <v>0</v>
      </c>
      <c r="G22" s="823"/>
      <c r="H22" s="823">
        <f>'C-1 Site River Baseline'!$R$258+'F-1 Off Site River Baseline'!$R$258</f>
        <v>0</v>
      </c>
      <c r="I22" s="824"/>
    </row>
    <row r="23" spans="2:9" ht="18.75" customHeight="1" thickBot="1" x14ac:dyDescent="0.3">
      <c r="D23" s="34"/>
      <c r="F23" s="34"/>
      <c r="H23" s="34"/>
    </row>
    <row r="24" spans="2:9" ht="18.75" customHeight="1" x14ac:dyDescent="0.25">
      <c r="B24" s="789" t="s">
        <v>46</v>
      </c>
      <c r="C24" s="790"/>
      <c r="D24" s="829">
        <f>IF(AND($K$40=0,'A-1 Site Habitat Baseline'!Y11:Y258&lt;&gt;"No",'D-1 Off Site Habitat Baseline'!Y11:Y258&lt;&gt;"No"),'A-1 Site Habitat Baseline'!$S259+'D-1 Off Site Habitat Baseline'!S259,"Error ▲")</f>
        <v>3.94</v>
      </c>
      <c r="E24" s="829"/>
      <c r="F24" s="821">
        <f>'B-1 Site Hedge Baseline'!$P$258+'E-1 Off Site Hedge Baseline'!$P$258</f>
        <v>0</v>
      </c>
      <c r="G24" s="821"/>
      <c r="H24" s="821">
        <f>'C-1 Site River Baseline'!T258+'F-1 Off Site River Baseline'!T258</f>
        <v>0</v>
      </c>
      <c r="I24" s="822"/>
    </row>
    <row r="25" spans="2:9" ht="18.75" customHeight="1" thickBot="1" x14ac:dyDescent="0.3">
      <c r="B25" s="791" t="s">
        <v>47</v>
      </c>
      <c r="C25" s="792"/>
      <c r="D25" s="830">
        <f>IF(AND($K$40=0,'A-1 Site Habitat Baseline'!Y11:Y258&lt;&gt;"No",'D-1 Off Site Habitat Baseline'!Y11:Y258&lt;&gt;"No"),'A-1 Site Habitat Baseline'!$U259+'D-1 Off Site Habitat Baseline'!U259,"Error ▲")</f>
        <v>37.616</v>
      </c>
      <c r="E25" s="830"/>
      <c r="F25" s="823">
        <f>'B-1 Site Hedge Baseline'!R258+'E-1 Off Site Hedge Baseline'!R258</f>
        <v>0</v>
      </c>
      <c r="G25" s="823"/>
      <c r="H25" s="823">
        <f>'C-1 Site River Baseline'!V258+'F-1 Off Site River Baseline'!V258</f>
        <v>0</v>
      </c>
      <c r="I25" s="824"/>
    </row>
    <row r="26" spans="2:9" ht="18.75" customHeight="1" thickBot="1" x14ac:dyDescent="0.3">
      <c r="D26" s="34"/>
      <c r="F26" s="34"/>
      <c r="H26" s="34"/>
    </row>
    <row r="27" spans="2:9" ht="18.75" customHeight="1" x14ac:dyDescent="0.25">
      <c r="B27" s="789" t="s">
        <v>48</v>
      </c>
      <c r="C27" s="790"/>
      <c r="D27" s="829">
        <f>IF(AND($K$40=0,'A-1 Site Habitat Baseline'!Y11:Y258&lt;&gt;"No",'D-1 Off Site Habitat Baseline'!Y11:Y258&lt;&gt;"No"),'A-1 Site Habitat Baseline'!$T259+'D-1 Off Site Habitat Baseline'!T259,"Error ▲")</f>
        <v>0</v>
      </c>
      <c r="E27" s="829"/>
      <c r="F27" s="821">
        <f>'B-1 Site Hedge Baseline'!$Q$258+'E-1 Off Site Hedge Baseline'!$Q$258</f>
        <v>0</v>
      </c>
      <c r="G27" s="821"/>
      <c r="H27" s="821">
        <f>'C-1 Site River Baseline'!U258+'F-1 Off Site River Baseline'!U258</f>
        <v>0</v>
      </c>
      <c r="I27" s="822"/>
    </row>
    <row r="28" spans="2:9" ht="18.75" customHeight="1" thickBot="1" x14ac:dyDescent="0.3">
      <c r="B28" s="791" t="s">
        <v>49</v>
      </c>
      <c r="C28" s="792"/>
      <c r="D28" s="830">
        <f>IF(AND($K$40=0,'A-1 Site Habitat Baseline'!Y11:Y258&lt;&gt;"No",'D-1 Off Site Habitat Baseline'!Y11:Y258&lt;&gt;"No"),'A-1 Site Habitat Baseline'!$V259+'D-1 Off Site Habitat Baseline'!V259,"Error ▲")</f>
        <v>0</v>
      </c>
      <c r="E28" s="830"/>
      <c r="F28" s="823">
        <f>'B-1 Site Hedge Baseline'!$S$258+'E-1 Off Site Hedge Baseline'!$S$258</f>
        <v>0</v>
      </c>
      <c r="G28" s="823"/>
      <c r="H28" s="823">
        <f>'C-1 Site River Baseline'!W258+'F-1 Off Site River Baseline'!W258</f>
        <v>0</v>
      </c>
      <c r="I28" s="824"/>
    </row>
    <row r="29" spans="2:9" ht="18.75" customHeight="1" thickBot="1" x14ac:dyDescent="0.3">
      <c r="D29" s="34"/>
      <c r="F29" s="34"/>
      <c r="H29" s="34"/>
    </row>
    <row r="30" spans="2:9" ht="18.75" customHeight="1" x14ac:dyDescent="0.25">
      <c r="B30" s="789" t="s">
        <v>50</v>
      </c>
      <c r="C30" s="790"/>
      <c r="D30" s="829">
        <f>IF(AND($K$40=0,'A-1 Site Habitat Baseline'!Y11:Y258&lt;&gt;"No",'D-1 Off Site Habitat Baseline'!Y11:Y258&lt;&gt;"No"),'A-1 Site Habitat Baseline'!$W259+'D-1 Off Site Habitat Baseline'!W259,"Error ▲")</f>
        <v>0.8</v>
      </c>
      <c r="E30" s="829"/>
      <c r="F30" s="821">
        <f>'B-1 Site Hedge Baseline'!$T$258+'E-1 Off Site Hedge Baseline'!$T$258</f>
        <v>0</v>
      </c>
      <c r="G30" s="821"/>
      <c r="H30" s="821">
        <f>'C-1 Site River Baseline'!X258+'F-1 Off Site River Baseline'!X258</f>
        <v>0</v>
      </c>
      <c r="I30" s="822"/>
    </row>
    <row r="31" spans="2:9" ht="18.75" customHeight="1" thickBot="1" x14ac:dyDescent="0.3">
      <c r="B31" s="791" t="s">
        <v>51</v>
      </c>
      <c r="C31" s="792"/>
      <c r="D31" s="830">
        <f>IF(AND($K$40=0,'A-1 Site Habitat Baseline'!Y11:Y258&lt;&gt;"No",'D-1 Off Site Habitat Baseline'!Y11:Y258&lt;&gt;"No"),'A-1 Site Habitat Baseline'!$X259+'D-1 Off Site Habitat Baseline'!X259,"Error ▲")</f>
        <v>0.43599999999999994</v>
      </c>
      <c r="E31" s="830"/>
      <c r="F31" s="823">
        <f>'B-1 Site Hedge Baseline'!$U$258+'E-1 Off Site Hedge Baseline'!$U$258</f>
        <v>0</v>
      </c>
      <c r="G31" s="823"/>
      <c r="H31" s="823">
        <f>'C-1 Site River Baseline'!Y258+'F-1 Off Site River Baseline'!Y258</f>
        <v>0</v>
      </c>
      <c r="I31" s="824"/>
    </row>
    <row r="32" spans="2:9" ht="25.9" customHeight="1" thickBot="1" x14ac:dyDescent="0.3">
      <c r="C32" s="34"/>
      <c r="D32" s="34"/>
      <c r="E32" s="34"/>
    </row>
    <row r="33" spans="1:22" s="333" customFormat="1" ht="43.9" customHeight="1" thickTop="1" thickBot="1" x14ac:dyDescent="0.3">
      <c r="A33" s="793" t="s">
        <v>52</v>
      </c>
      <c r="C33" s="334"/>
      <c r="D33" s="334"/>
      <c r="E33" s="334"/>
    </row>
    <row r="34" spans="1:22" ht="26.25" thickBot="1" x14ac:dyDescent="0.4">
      <c r="A34" s="794"/>
      <c r="B34" s="463" t="s">
        <v>53</v>
      </c>
    </row>
    <row r="35" spans="1:22" ht="18.75" customHeight="1" thickBot="1" x14ac:dyDescent="0.3">
      <c r="A35" s="794"/>
    </row>
    <row r="36" spans="1:22" ht="22.15" customHeight="1" thickBot="1" x14ac:dyDescent="0.35">
      <c r="A36" s="794"/>
      <c r="B36" s="805" t="s">
        <v>54</v>
      </c>
      <c r="C36" s="805"/>
      <c r="D36" s="805"/>
      <c r="E36" s="805"/>
      <c r="F36" s="805"/>
      <c r="G36" s="805"/>
      <c r="H36" s="805"/>
      <c r="J36" s="809" t="s">
        <v>55</v>
      </c>
      <c r="K36" s="810"/>
      <c r="L36" s="811"/>
    </row>
    <row r="37" spans="1:22" ht="34.15" customHeight="1" thickBot="1" x14ac:dyDescent="0.3">
      <c r="A37" s="794"/>
      <c r="B37" s="35"/>
      <c r="C37" s="788" t="s">
        <v>56</v>
      </c>
      <c r="D37" s="788"/>
      <c r="E37" s="788" t="s">
        <v>57</v>
      </c>
      <c r="F37" s="788"/>
      <c r="G37" s="788" t="s">
        <v>58</v>
      </c>
      <c r="H37" s="788"/>
      <c r="J37" s="812"/>
      <c r="K37" s="813"/>
      <c r="L37" s="814"/>
      <c r="U37" s="862"/>
      <c r="V37" s="862"/>
    </row>
    <row r="38" spans="1:22" ht="52.9" customHeight="1" thickBot="1" x14ac:dyDescent="0.3">
      <c r="A38" s="794"/>
      <c r="B38" s="323" t="s">
        <v>59</v>
      </c>
      <c r="C38" s="35" t="s">
        <v>60</v>
      </c>
      <c r="D38" s="35" t="s">
        <v>61</v>
      </c>
      <c r="E38" s="35" t="s">
        <v>62</v>
      </c>
      <c r="F38" s="35" t="s">
        <v>63</v>
      </c>
      <c r="G38" s="35" t="s">
        <v>64</v>
      </c>
      <c r="H38" s="35" t="s">
        <v>65</v>
      </c>
      <c r="J38" s="815" t="s">
        <v>66</v>
      </c>
      <c r="K38" s="817" t="s">
        <v>67</v>
      </c>
      <c r="L38" s="819" t="s">
        <v>68</v>
      </c>
      <c r="U38" s="862"/>
      <c r="V38" s="862"/>
    </row>
    <row r="39" spans="1:22" ht="15.75" x14ac:dyDescent="0.25">
      <c r="A39" s="794"/>
      <c r="B39" s="43" t="s">
        <v>69</v>
      </c>
      <c r="C39" s="464">
        <f>'G-2 Habitat groups'!$AK$4</f>
        <v>0</v>
      </c>
      <c r="D39" s="464">
        <f>'G-2 Habitat groups'!$AL$4</f>
        <v>0</v>
      </c>
      <c r="E39" s="464">
        <f>'G-2 Habitat groups'!$AM$4</f>
        <v>0</v>
      </c>
      <c r="F39" s="464">
        <f>'G-2 Habitat groups'!$AN$4</f>
        <v>0</v>
      </c>
      <c r="G39" s="464">
        <f>E39-C39</f>
        <v>0</v>
      </c>
      <c r="H39" s="464">
        <f>F39-D39</f>
        <v>0</v>
      </c>
      <c r="J39" s="816"/>
      <c r="K39" s="818"/>
      <c r="L39" s="820"/>
    </row>
    <row r="40" spans="1:22" ht="15.75" x14ac:dyDescent="0.25">
      <c r="A40" s="794"/>
      <c r="B40" s="37" t="s">
        <v>70</v>
      </c>
      <c r="C40" s="466">
        <f>'G-2 Habitat groups'!$AK$5</f>
        <v>1.48</v>
      </c>
      <c r="D40" s="466">
        <f>'G-2 Habitat groups'!$AL$5</f>
        <v>2.96</v>
      </c>
      <c r="E40" s="466">
        <f>'G-2 Habitat groups'!$AM$5</f>
        <v>1.4</v>
      </c>
      <c r="F40" s="466">
        <f>'G-2 Habitat groups'!$AN$5</f>
        <v>2.8</v>
      </c>
      <c r="G40" s="466">
        <f t="shared" ref="G40:G50" si="0">E40-C40</f>
        <v>-8.0000000000000071E-2</v>
      </c>
      <c r="H40" s="466">
        <f t="shared" ref="H40:H50" si="1">F40-D40</f>
        <v>-0.16000000000000014</v>
      </c>
      <c r="J40" s="801" t="str">
        <f>'G-1 All Habitats'!$V$3</f>
        <v>V.High</v>
      </c>
      <c r="K40" s="803">
        <f>SUMIF('A-1 Site Habitat Baseline'!$I$11:$I$258,'Detailed Results'!J40,'A-1 Site Habitat Baseline'!$W$11:$W$258)+SUMIF('D-1 Off Site Habitat Baseline'!$I$11:$I$258,'Detailed Results'!J40,'D-1 Off Site Habitat Baseline'!$W$11:$W$258)</f>
        <v>0</v>
      </c>
      <c r="L40" s="807" t="str">
        <f>IF(K40=0,"",(K40/(SUM($K$40:$K$49)))*100)</f>
        <v/>
      </c>
    </row>
    <row r="41" spans="1:22" ht="15.75" x14ac:dyDescent="0.25">
      <c r="A41" s="794"/>
      <c r="B41" s="37" t="s">
        <v>71</v>
      </c>
      <c r="C41" s="466">
        <f>'G-2 Habitat groups'!$AK$6</f>
        <v>0</v>
      </c>
      <c r="D41" s="466">
        <f>'G-2 Habitat groups'!$AL$6</f>
        <v>0</v>
      </c>
      <c r="E41" s="466">
        <f>'G-2 Habitat groups'!$AM$6</f>
        <v>0</v>
      </c>
      <c r="F41" s="466">
        <f>'G-2 Habitat groups'!$AN$6</f>
        <v>0</v>
      </c>
      <c r="G41" s="466">
        <f t="shared" si="0"/>
        <v>0</v>
      </c>
      <c r="H41" s="466">
        <f t="shared" si="1"/>
        <v>0</v>
      </c>
      <c r="J41" s="802"/>
      <c r="K41" s="804"/>
      <c r="L41" s="808"/>
    </row>
    <row r="42" spans="1:22" ht="15.75" x14ac:dyDescent="0.25">
      <c r="A42" s="794"/>
      <c r="B42" s="37" t="s">
        <v>72</v>
      </c>
      <c r="C42" s="466">
        <f>'G-2 Habitat groups'!$AK$7</f>
        <v>0.04</v>
      </c>
      <c r="D42" s="466">
        <f>'G-2 Habitat groups'!$AL$7</f>
        <v>0.55199999999999994</v>
      </c>
      <c r="E42" s="466">
        <f>'G-2 Habitat groups'!$AM$7</f>
        <v>0.04</v>
      </c>
      <c r="F42" s="466">
        <f>'G-2 Habitat groups'!$AN$7</f>
        <v>0.55199999999999994</v>
      </c>
      <c r="G42" s="466">
        <f t="shared" si="0"/>
        <v>0</v>
      </c>
      <c r="H42" s="466">
        <f t="shared" si="1"/>
        <v>0</v>
      </c>
      <c r="J42" s="801" t="str">
        <f>'G-1 All Habitats'!$V$4</f>
        <v>High</v>
      </c>
      <c r="K42" s="803">
        <f>SUMIF('A-1 Site Habitat Baseline'!$I$11:$I$258,'Detailed Results'!J42,'A-1 Site Habitat Baseline'!$W$11:$W$258)+SUMIF('D-1 Off Site Habitat Baseline'!$I$11:$I$258,'Detailed Results'!J42,'D-1 Off Site Habitat Baseline'!$W$11:$W$258)</f>
        <v>0</v>
      </c>
      <c r="L42" s="807" t="str">
        <f>IF(K42=0,"",(K42/(SUM($K$40:$K$49)))*100)</f>
        <v/>
      </c>
    </row>
    <row r="43" spans="1:22" ht="15.75" x14ac:dyDescent="0.25">
      <c r="A43" s="794"/>
      <c r="B43" s="37" t="s">
        <v>73</v>
      </c>
      <c r="C43" s="466">
        <f>'G-2 Habitat groups'!$AK$8</f>
        <v>0</v>
      </c>
      <c r="D43" s="466">
        <f>'G-2 Habitat groups'!$AL$8</f>
        <v>0</v>
      </c>
      <c r="E43" s="466">
        <f>'G-2 Habitat groups'!$AM$8</f>
        <v>0</v>
      </c>
      <c r="F43" s="466">
        <f>'G-2 Habitat groups'!$AN$8</f>
        <v>0</v>
      </c>
      <c r="G43" s="466">
        <f t="shared" si="0"/>
        <v>0</v>
      </c>
      <c r="H43" s="466">
        <f t="shared" si="1"/>
        <v>0</v>
      </c>
      <c r="J43" s="802"/>
      <c r="K43" s="804"/>
      <c r="L43" s="808"/>
    </row>
    <row r="44" spans="1:22" ht="15.75" x14ac:dyDescent="0.25">
      <c r="A44" s="794"/>
      <c r="B44" s="37" t="s">
        <v>74</v>
      </c>
      <c r="C44" s="466">
        <f>'G-2 Habitat groups'!$AK$9</f>
        <v>2.6799999999999997</v>
      </c>
      <c r="D44" s="466">
        <f>'G-2 Habitat groups'!$AL$9</f>
        <v>27.087999999999997</v>
      </c>
      <c r="E44" s="466">
        <f>'G-2 Habitat groups'!$AM$9</f>
        <v>2.9000000000000004</v>
      </c>
      <c r="F44" s="466">
        <f>'G-2 Habitat groups'!$AN$9</f>
        <v>27.301156050687997</v>
      </c>
      <c r="G44" s="466">
        <f t="shared" si="0"/>
        <v>0.22000000000000064</v>
      </c>
      <c r="H44" s="466">
        <f t="shared" si="1"/>
        <v>0.21315605068799925</v>
      </c>
      <c r="J44" s="801" t="str">
        <f>'G-1 All Habitats'!$V5</f>
        <v>Medium</v>
      </c>
      <c r="K44" s="803">
        <f>SUMIF('A-1 Site Habitat Baseline'!$I$11:$I$258,'Detailed Results'!J44,'A-1 Site Habitat Baseline'!$W$11:$W$258)+SUMIF('D-1 Off Site Habitat Baseline'!$I$11:$I$258,'Detailed Results'!J44,'D-1 Off Site Habitat Baseline'!$W$11:$W$258)</f>
        <v>2.0000000000000018E-2</v>
      </c>
      <c r="L44" s="807">
        <f>IF(K44=0,"",(K44/(SUM($K$40:$K$49)))*100)</f>
        <v>2.5000000000000022</v>
      </c>
    </row>
    <row r="45" spans="1:22" ht="15.75" x14ac:dyDescent="0.25">
      <c r="A45" s="794"/>
      <c r="B45" s="37" t="s">
        <v>75</v>
      </c>
      <c r="C45" s="466">
        <f>'G-2 Habitat groups'!$AK$10</f>
        <v>0</v>
      </c>
      <c r="D45" s="466">
        <f>'G-2 Habitat groups'!$AL$10</f>
        <v>0</v>
      </c>
      <c r="E45" s="466">
        <f>'G-2 Habitat groups'!$AM$10</f>
        <v>0</v>
      </c>
      <c r="F45" s="466">
        <f>'G-2 Habitat groups'!$AN$10</f>
        <v>0</v>
      </c>
      <c r="G45" s="466">
        <f t="shared" si="0"/>
        <v>0</v>
      </c>
      <c r="H45" s="466">
        <f t="shared" si="1"/>
        <v>0</v>
      </c>
      <c r="J45" s="802"/>
      <c r="K45" s="804"/>
      <c r="L45" s="808"/>
    </row>
    <row r="46" spans="1:22" ht="15.75" x14ac:dyDescent="0.25">
      <c r="A46" s="794"/>
      <c r="B46" s="38" t="s">
        <v>76</v>
      </c>
      <c r="C46" s="466">
        <f>'G-2 Habitat groups'!$AK$11</f>
        <v>0.54</v>
      </c>
      <c r="D46" s="466">
        <f>'G-2 Habitat groups'!$AL$11</f>
        <v>7.452</v>
      </c>
      <c r="E46" s="466">
        <f>'G-2 Habitat groups'!$AM$11</f>
        <v>0.54</v>
      </c>
      <c r="F46" s="466">
        <f>'G-2 Habitat groups'!$AN$11</f>
        <v>7.452</v>
      </c>
      <c r="G46" s="466">
        <f t="shared" si="0"/>
        <v>0</v>
      </c>
      <c r="H46" s="466">
        <f t="shared" si="1"/>
        <v>0</v>
      </c>
      <c r="J46" s="801" t="str">
        <f>'G-1 All Habitats'!$V$6</f>
        <v>Low</v>
      </c>
      <c r="K46" s="803">
        <f>SUMIF('A-1 Site Habitat Baseline'!$I$11:$I$258,'Detailed Results'!J46,'A-1 Site Habitat Baseline'!$W$11:$W$258)+SUMIF('D-1 Off Site Habitat Baseline'!$I$11:$I$258,'Detailed Results'!J46,'D-1 Off Site Habitat Baseline'!$W$11:$W$258)</f>
        <v>8.0000000000000071E-2</v>
      </c>
      <c r="L46" s="807">
        <f>IF(K46=0,"",(K46/(SUM($K$40:$K$49)))*100)</f>
        <v>10.000000000000009</v>
      </c>
    </row>
    <row r="47" spans="1:22" ht="15.75" x14ac:dyDescent="0.25">
      <c r="A47" s="794"/>
      <c r="B47" s="39" t="s">
        <v>77</v>
      </c>
      <c r="C47" s="466">
        <f>'G-2 Habitat groups'!$AK$12</f>
        <v>0</v>
      </c>
      <c r="D47" s="466">
        <f>'G-2 Habitat groups'!$AL$12</f>
        <v>0</v>
      </c>
      <c r="E47" s="466">
        <f>'G-2 Habitat groups'!$AM$12</f>
        <v>0</v>
      </c>
      <c r="F47" s="466">
        <f>'G-2 Habitat groups'!$AN$12</f>
        <v>0</v>
      </c>
      <c r="G47" s="466">
        <f t="shared" si="0"/>
        <v>0</v>
      </c>
      <c r="H47" s="466">
        <f t="shared" si="1"/>
        <v>0</v>
      </c>
      <c r="J47" s="802"/>
      <c r="K47" s="804"/>
      <c r="L47" s="808"/>
    </row>
    <row r="48" spans="1:22" ht="15.75" x14ac:dyDescent="0.25">
      <c r="A48" s="794"/>
      <c r="B48" s="39" t="s">
        <v>78</v>
      </c>
      <c r="C48" s="466">
        <f>'G-2 Habitat groups'!$AK$13</f>
        <v>0</v>
      </c>
      <c r="D48" s="466">
        <f>'G-2 Habitat groups'!$AL$13</f>
        <v>0</v>
      </c>
      <c r="E48" s="466">
        <f>'G-2 Habitat groups'!$AM$13</f>
        <v>0</v>
      </c>
      <c r="F48" s="466">
        <f>'G-2 Habitat groups'!$AN$13</f>
        <v>0</v>
      </c>
      <c r="G48" s="466">
        <f t="shared" si="0"/>
        <v>0</v>
      </c>
      <c r="H48" s="466">
        <f t="shared" si="1"/>
        <v>0</v>
      </c>
      <c r="J48" s="801" t="str">
        <f>'G-1 All Habitats'!$V$7</f>
        <v>V.Low</v>
      </c>
      <c r="K48" s="803">
        <f>SUMIF('A-1 Site Habitat Baseline'!$I$11:$I$258,'Detailed Results'!J48,'A-1 Site Habitat Baseline'!$W$11:$W$258)+SUMIF('D-1 Off Site Habitat Baseline'!$I$11:$I$258,'Detailed Results'!J48,'D-1 Off Site Habitat Baseline'!$W$11:$W$258)</f>
        <v>0.7</v>
      </c>
      <c r="L48" s="807">
        <f>IF(K48=0,"",(K48/(SUM($K$40:$K$49)))*100)</f>
        <v>87.499999999999986</v>
      </c>
    </row>
    <row r="49" spans="1:33" ht="16.5" thickBot="1" x14ac:dyDescent="0.3">
      <c r="A49" s="794"/>
      <c r="B49" s="39" t="s">
        <v>79</v>
      </c>
      <c r="C49" s="466">
        <f>'G-2 Habitat groups'!$AK$14</f>
        <v>0</v>
      </c>
      <c r="D49" s="466">
        <f>'G-2 Habitat groups'!$AL$14</f>
        <v>0</v>
      </c>
      <c r="E49" s="466">
        <f>'G-2 Habitat groups'!$AM$14</f>
        <v>0</v>
      </c>
      <c r="F49" s="466">
        <f>'G-2 Habitat groups'!$AN$14</f>
        <v>0</v>
      </c>
      <c r="G49" s="466">
        <f t="shared" si="0"/>
        <v>0</v>
      </c>
      <c r="H49" s="466">
        <f t="shared" si="1"/>
        <v>0</v>
      </c>
      <c r="J49" s="806"/>
      <c r="K49" s="804"/>
      <c r="L49" s="808"/>
    </row>
    <row r="50" spans="1:33" ht="15.75" x14ac:dyDescent="0.25">
      <c r="A50" s="794"/>
      <c r="B50" s="39" t="s">
        <v>80</v>
      </c>
      <c r="C50" s="466">
        <f>'G-2 Habitat groups'!$AK$15</f>
        <v>0</v>
      </c>
      <c r="D50" s="466">
        <f>'G-2 Habitat groups'!$AL$15</f>
        <v>0</v>
      </c>
      <c r="E50" s="466">
        <f>'G-2 Habitat groups'!$AM$15</f>
        <v>0</v>
      </c>
      <c r="F50" s="466">
        <f>'G-2 Habitat groups'!$AN$15</f>
        <v>0</v>
      </c>
      <c r="G50" s="466">
        <f t="shared" si="0"/>
        <v>0</v>
      </c>
      <c r="H50" s="466">
        <f t="shared" si="1"/>
        <v>0</v>
      </c>
    </row>
    <row r="51" spans="1:33" ht="15.75" x14ac:dyDescent="0.25">
      <c r="A51" s="794"/>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25">
      <c r="A52" s="794"/>
    </row>
    <row r="53" spans="1:33" ht="15.75" customHeight="1" x14ac:dyDescent="0.25">
      <c r="A53" s="794"/>
    </row>
    <row r="54" spans="1:33" ht="10.15" customHeight="1" thickBot="1" x14ac:dyDescent="0.3">
      <c r="A54" s="794"/>
    </row>
    <row r="55" spans="1:33" ht="22.9" customHeight="1" thickBot="1" x14ac:dyDescent="0.4">
      <c r="A55" s="794"/>
      <c r="B55" s="805" t="s">
        <v>82</v>
      </c>
      <c r="C55" s="805"/>
      <c r="D55" s="805"/>
      <c r="E55" s="805"/>
      <c r="F55" s="805"/>
      <c r="G55" s="805"/>
      <c r="H55" s="805"/>
      <c r="I55" s="41"/>
      <c r="J55" s="41"/>
      <c r="K55" s="41"/>
      <c r="L55" s="41"/>
      <c r="M55" s="41"/>
    </row>
    <row r="56" spans="1:33" s="42" customFormat="1" ht="38.25" customHeight="1" thickBot="1" x14ac:dyDescent="0.3">
      <c r="A56" s="794"/>
      <c r="B56" s="35"/>
      <c r="C56" s="788" t="s">
        <v>56</v>
      </c>
      <c r="D56" s="788"/>
      <c r="E56" s="788" t="s">
        <v>83</v>
      </c>
      <c r="F56" s="788"/>
      <c r="G56" s="788" t="s">
        <v>84</v>
      </c>
      <c r="H56" s="788"/>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794"/>
      <c r="B57" s="323" t="s">
        <v>59</v>
      </c>
      <c r="C57" s="35" t="s">
        <v>60</v>
      </c>
      <c r="D57" s="35" t="s">
        <v>85</v>
      </c>
      <c r="E57" s="35" t="s">
        <v>86</v>
      </c>
      <c r="F57" s="35" t="s">
        <v>87</v>
      </c>
      <c r="G57" s="35" t="s">
        <v>88</v>
      </c>
      <c r="H57" s="35" t="s">
        <v>89</v>
      </c>
      <c r="I57" s="40"/>
      <c r="J57" s="40"/>
    </row>
    <row r="58" spans="1:33" ht="15.75" x14ac:dyDescent="0.25">
      <c r="A58" s="794"/>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75" x14ac:dyDescent="0.25">
      <c r="A59" s="794"/>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25">
      <c r="A60" s="794"/>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75" x14ac:dyDescent="0.25">
      <c r="A61" s="794"/>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75" x14ac:dyDescent="0.25">
      <c r="A62" s="794"/>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75" x14ac:dyDescent="0.25">
      <c r="A63" s="794"/>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75" x14ac:dyDescent="0.25">
      <c r="A64" s="794"/>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75" x14ac:dyDescent="0.25">
      <c r="A65" s="794"/>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25">
      <c r="A66" s="794"/>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25">
      <c r="A67" s="794"/>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25">
      <c r="A68" s="794"/>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25">
      <c r="A69" s="794"/>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
      <c r="A70" s="794"/>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25">
      <c r="A71" s="794"/>
      <c r="B71" s="40"/>
      <c r="C71" s="40"/>
      <c r="D71" s="40"/>
      <c r="E71" s="40"/>
      <c r="F71" s="40"/>
      <c r="G71" s="40"/>
      <c r="H71" s="40"/>
      <c r="I71" s="40"/>
      <c r="J71" s="40"/>
    </row>
    <row r="72" spans="1:10" ht="15.75" customHeight="1" x14ac:dyDescent="0.25">
      <c r="A72" s="794"/>
      <c r="B72" s="40"/>
      <c r="C72" s="40"/>
      <c r="D72" s="40"/>
      <c r="E72" s="40"/>
      <c r="F72" s="40"/>
      <c r="G72" s="40"/>
      <c r="H72" s="40"/>
      <c r="I72" s="40"/>
      <c r="J72" s="40"/>
    </row>
    <row r="73" spans="1:10" ht="10.9" customHeight="1" thickBot="1" x14ac:dyDescent="0.3">
      <c r="A73" s="794"/>
      <c r="B73" s="40"/>
      <c r="C73" s="40"/>
      <c r="D73" s="40"/>
      <c r="E73" s="40"/>
      <c r="F73" s="40"/>
      <c r="G73" s="40"/>
      <c r="H73" s="40"/>
      <c r="I73" s="40"/>
      <c r="J73" s="40"/>
    </row>
    <row r="74" spans="1:10" ht="19.5" thickBot="1" x14ac:dyDescent="0.35">
      <c r="A74" s="794"/>
      <c r="B74" s="805" t="s">
        <v>90</v>
      </c>
      <c r="C74" s="805"/>
      <c r="D74" s="805"/>
      <c r="E74" s="805"/>
      <c r="F74" s="805"/>
      <c r="G74" s="805"/>
      <c r="H74" s="805"/>
      <c r="I74" s="40"/>
      <c r="J74" s="40"/>
    </row>
    <row r="75" spans="1:10" ht="33.6" customHeight="1" thickBot="1" x14ac:dyDescent="0.3">
      <c r="A75" s="794"/>
      <c r="B75" s="35"/>
      <c r="C75" s="788" t="s">
        <v>56</v>
      </c>
      <c r="D75" s="788"/>
      <c r="E75" s="788" t="s">
        <v>91</v>
      </c>
      <c r="F75" s="788"/>
      <c r="G75" s="788" t="s">
        <v>92</v>
      </c>
      <c r="H75" s="788"/>
      <c r="I75" s="40"/>
      <c r="J75" s="40"/>
    </row>
    <row r="76" spans="1:10" ht="45.6" customHeight="1" x14ac:dyDescent="0.25">
      <c r="A76" s="794"/>
      <c r="B76" s="36" t="s">
        <v>59</v>
      </c>
      <c r="C76" s="324" t="s">
        <v>60</v>
      </c>
      <c r="D76" s="324" t="s">
        <v>61</v>
      </c>
      <c r="E76" s="324" t="s">
        <v>93</v>
      </c>
      <c r="F76" s="324" t="s">
        <v>94</v>
      </c>
      <c r="G76" s="324" t="s">
        <v>62</v>
      </c>
      <c r="H76" s="324" t="s">
        <v>63</v>
      </c>
      <c r="I76" s="40"/>
      <c r="J76" s="40"/>
    </row>
    <row r="77" spans="1:10" ht="15.75" customHeight="1" x14ac:dyDescent="0.25">
      <c r="A77" s="794"/>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25">
      <c r="A78" s="794"/>
      <c r="B78" s="37" t="s">
        <v>70</v>
      </c>
      <c r="C78" s="466">
        <f t="shared" si="8"/>
        <v>1.48</v>
      </c>
      <c r="D78" s="466">
        <f t="shared" si="8"/>
        <v>2.96</v>
      </c>
      <c r="E78" s="466">
        <f t="shared" si="8"/>
        <v>1.4</v>
      </c>
      <c r="F78" s="466">
        <f t="shared" si="8"/>
        <v>2.8</v>
      </c>
      <c r="G78" s="466">
        <f t="shared" si="8"/>
        <v>-8.0000000000000071E-2</v>
      </c>
      <c r="H78" s="467">
        <f t="shared" si="8"/>
        <v>-0.16000000000000014</v>
      </c>
      <c r="I78" s="40"/>
      <c r="J78" s="40"/>
    </row>
    <row r="79" spans="1:10" ht="15.75" customHeight="1" x14ac:dyDescent="0.25">
      <c r="A79" s="794"/>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25">
      <c r="A80" s="794"/>
      <c r="B80" s="37" t="s">
        <v>72</v>
      </c>
      <c r="C80" s="466">
        <f t="shared" si="8"/>
        <v>0.04</v>
      </c>
      <c r="D80" s="466">
        <f t="shared" si="8"/>
        <v>0.55199999999999994</v>
      </c>
      <c r="E80" s="466">
        <f t="shared" si="8"/>
        <v>0.04</v>
      </c>
      <c r="F80" s="466">
        <f t="shared" si="8"/>
        <v>0.55199999999999994</v>
      </c>
      <c r="G80" s="466">
        <f t="shared" si="8"/>
        <v>0</v>
      </c>
      <c r="H80" s="467">
        <f t="shared" si="8"/>
        <v>0</v>
      </c>
      <c r="I80" s="40"/>
      <c r="J80" s="40"/>
    </row>
    <row r="81" spans="1:12" ht="15.75" customHeight="1" x14ac:dyDescent="0.25">
      <c r="A81" s="794"/>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25">
      <c r="A82" s="794"/>
      <c r="B82" s="37" t="s">
        <v>74</v>
      </c>
      <c r="C82" s="466">
        <f t="shared" si="8"/>
        <v>2.6799999999999997</v>
      </c>
      <c r="D82" s="466">
        <f t="shared" si="8"/>
        <v>27.087999999999997</v>
      </c>
      <c r="E82" s="466">
        <f t="shared" si="8"/>
        <v>2.9000000000000004</v>
      </c>
      <c r="F82" s="466">
        <f t="shared" si="8"/>
        <v>27.301156050687997</v>
      </c>
      <c r="G82" s="466">
        <f t="shared" si="8"/>
        <v>0.22000000000000064</v>
      </c>
      <c r="H82" s="467">
        <f t="shared" si="8"/>
        <v>0.21315605068799925</v>
      </c>
      <c r="I82" s="40"/>
      <c r="J82" s="40"/>
    </row>
    <row r="83" spans="1:12" ht="15.75" customHeight="1" x14ac:dyDescent="0.25">
      <c r="A83" s="794"/>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25">
      <c r="A84" s="794"/>
      <c r="B84" s="38" t="s">
        <v>76</v>
      </c>
      <c r="C84" s="466">
        <f t="shared" si="8"/>
        <v>0.54</v>
      </c>
      <c r="D84" s="466">
        <f t="shared" si="8"/>
        <v>7.452</v>
      </c>
      <c r="E84" s="466">
        <f t="shared" si="8"/>
        <v>0.54</v>
      </c>
      <c r="F84" s="466">
        <f t="shared" si="8"/>
        <v>7.452</v>
      </c>
      <c r="G84" s="466">
        <f t="shared" si="8"/>
        <v>0</v>
      </c>
      <c r="H84" s="467">
        <f t="shared" si="8"/>
        <v>0</v>
      </c>
      <c r="I84" s="40"/>
      <c r="J84" s="40"/>
    </row>
    <row r="85" spans="1:12" ht="15.75" x14ac:dyDescent="0.25">
      <c r="A85" s="794"/>
      <c r="B85" s="44" t="s">
        <v>77</v>
      </c>
      <c r="C85" s="466">
        <f t="shared" si="8"/>
        <v>0</v>
      </c>
      <c r="D85" s="466">
        <f t="shared" si="8"/>
        <v>0</v>
      </c>
      <c r="E85" s="466">
        <f t="shared" si="8"/>
        <v>0</v>
      </c>
      <c r="F85" s="466">
        <f t="shared" si="8"/>
        <v>0</v>
      </c>
      <c r="G85" s="466">
        <f t="shared" si="8"/>
        <v>0</v>
      </c>
      <c r="H85" s="467">
        <f t="shared" si="8"/>
        <v>0</v>
      </c>
      <c r="I85" s="40"/>
      <c r="J85" s="40"/>
    </row>
    <row r="86" spans="1:12" ht="15.75" x14ac:dyDescent="0.25">
      <c r="A86" s="794"/>
      <c r="B86" s="44" t="s">
        <v>78</v>
      </c>
      <c r="C86" s="466">
        <f t="shared" si="8"/>
        <v>0</v>
      </c>
      <c r="D86" s="466">
        <f t="shared" si="8"/>
        <v>0</v>
      </c>
      <c r="E86" s="466">
        <f t="shared" si="8"/>
        <v>0</v>
      </c>
      <c r="F86" s="466">
        <f t="shared" si="8"/>
        <v>0</v>
      </c>
      <c r="G86" s="466">
        <f t="shared" si="8"/>
        <v>0</v>
      </c>
      <c r="H86" s="467">
        <f t="shared" si="8"/>
        <v>0</v>
      </c>
      <c r="I86" s="40"/>
      <c r="J86" s="40"/>
    </row>
    <row r="87" spans="1:12" ht="15.75" x14ac:dyDescent="0.25">
      <c r="A87" s="794"/>
      <c r="B87" s="44" t="s">
        <v>79</v>
      </c>
      <c r="C87" s="466">
        <f t="shared" si="8"/>
        <v>0</v>
      </c>
      <c r="D87" s="466">
        <f t="shared" si="8"/>
        <v>0</v>
      </c>
      <c r="E87" s="466">
        <f t="shared" si="8"/>
        <v>0</v>
      </c>
      <c r="F87" s="466">
        <f t="shared" si="8"/>
        <v>0</v>
      </c>
      <c r="G87" s="466">
        <f t="shared" si="8"/>
        <v>0</v>
      </c>
      <c r="H87" s="467">
        <f t="shared" si="8"/>
        <v>0</v>
      </c>
      <c r="I87" s="40"/>
      <c r="J87" s="40"/>
    </row>
    <row r="88" spans="1:12" ht="15.75" x14ac:dyDescent="0.25">
      <c r="A88" s="794"/>
      <c r="B88" s="44" t="s">
        <v>80</v>
      </c>
      <c r="C88" s="466">
        <f t="shared" si="8"/>
        <v>0</v>
      </c>
      <c r="D88" s="466">
        <f t="shared" si="8"/>
        <v>0</v>
      </c>
      <c r="E88" s="466">
        <f t="shared" si="8"/>
        <v>0</v>
      </c>
      <c r="F88" s="466">
        <f t="shared" si="8"/>
        <v>0</v>
      </c>
      <c r="G88" s="466">
        <f t="shared" si="8"/>
        <v>0</v>
      </c>
      <c r="H88" s="467">
        <f t="shared" si="8"/>
        <v>0</v>
      </c>
      <c r="I88" s="40"/>
      <c r="J88" s="40"/>
    </row>
    <row r="89" spans="1:12" ht="16.5" thickBot="1" x14ac:dyDescent="0.3">
      <c r="A89" s="794"/>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25">
      <c r="A90" s="794"/>
      <c r="B90" s="40"/>
      <c r="C90" s="40"/>
      <c r="D90" s="40"/>
      <c r="E90" s="40"/>
      <c r="F90" s="40"/>
      <c r="G90" s="40"/>
      <c r="H90" s="40"/>
      <c r="I90" s="40"/>
      <c r="J90" s="40"/>
    </row>
    <row r="91" spans="1:12" s="332" customFormat="1" ht="66" customHeight="1" thickBot="1" x14ac:dyDescent="0.3">
      <c r="A91" s="795"/>
    </row>
    <row r="92" spans="1:12" ht="37.9" customHeight="1" thickTop="1" thickBot="1" x14ac:dyDescent="0.3">
      <c r="A92" s="796" t="s">
        <v>95</v>
      </c>
    </row>
    <row r="93" spans="1:12" ht="26.25" thickBot="1" x14ac:dyDescent="0.4">
      <c r="A93" s="797"/>
      <c r="B93" s="825" t="s">
        <v>96</v>
      </c>
      <c r="C93" s="826"/>
      <c r="D93" s="827"/>
    </row>
    <row r="94" spans="1:12" x14ac:dyDescent="0.25">
      <c r="A94" s="797"/>
    </row>
    <row r="95" spans="1:12" ht="15" customHeight="1" thickBot="1" x14ac:dyDescent="0.3">
      <c r="A95" s="797"/>
    </row>
    <row r="96" spans="1:12" ht="18" customHeight="1" thickBot="1" x14ac:dyDescent="0.35">
      <c r="A96" s="797"/>
      <c r="B96" s="805" t="s">
        <v>97</v>
      </c>
      <c r="C96" s="805"/>
      <c r="D96" s="805"/>
      <c r="E96" s="805"/>
      <c r="F96" s="805"/>
      <c r="G96" s="805"/>
      <c r="H96" s="805"/>
      <c r="J96" s="809" t="s">
        <v>98</v>
      </c>
      <c r="K96" s="810"/>
      <c r="L96" s="811"/>
    </row>
    <row r="97" spans="1:12" ht="16.149999999999999" customHeight="1" thickBot="1" x14ac:dyDescent="0.3">
      <c r="A97" s="797"/>
      <c r="B97" s="35"/>
      <c r="C97" s="788" t="s">
        <v>56</v>
      </c>
      <c r="D97" s="788"/>
      <c r="E97" s="788" t="s">
        <v>57</v>
      </c>
      <c r="F97" s="788"/>
      <c r="G97" s="788" t="s">
        <v>58</v>
      </c>
      <c r="H97" s="788"/>
      <c r="J97" s="812"/>
      <c r="K97" s="813"/>
      <c r="L97" s="814"/>
    </row>
    <row r="98" spans="1:12" ht="48" thickBot="1" x14ac:dyDescent="0.3">
      <c r="A98" s="797"/>
      <c r="B98" s="323" t="s">
        <v>99</v>
      </c>
      <c r="C98" s="35" t="s">
        <v>100</v>
      </c>
      <c r="D98" s="35" t="s">
        <v>61</v>
      </c>
      <c r="E98" s="35" t="s">
        <v>101</v>
      </c>
      <c r="F98" s="35" t="s">
        <v>102</v>
      </c>
      <c r="G98" s="35" t="s">
        <v>103</v>
      </c>
      <c r="H98" s="35" t="s">
        <v>104</v>
      </c>
      <c r="J98" s="815" t="s">
        <v>66</v>
      </c>
      <c r="K98" s="817" t="s">
        <v>105</v>
      </c>
      <c r="L98" s="819" t="s">
        <v>106</v>
      </c>
    </row>
    <row r="99" spans="1:12" ht="15.75" x14ac:dyDescent="0.25">
      <c r="A99" s="797"/>
      <c r="B99" s="328" t="s">
        <v>107</v>
      </c>
      <c r="C99" s="464">
        <f>'G-2 Habitat groups'!E146</f>
        <v>0</v>
      </c>
      <c r="D99" s="464">
        <f>'G-2 Habitat groups'!F146</f>
        <v>0</v>
      </c>
      <c r="E99" s="464">
        <f>'G-2 Habitat groups'!O146</f>
        <v>0</v>
      </c>
      <c r="F99" s="464">
        <f>'G-2 Habitat groups'!P146</f>
        <v>0</v>
      </c>
      <c r="G99" s="464">
        <f>E99-C99</f>
        <v>0</v>
      </c>
      <c r="H99" s="464">
        <f t="shared" ref="H99:H111" si="9">F99-D99</f>
        <v>0</v>
      </c>
      <c r="J99" s="816"/>
      <c r="K99" s="818"/>
      <c r="L99" s="820"/>
    </row>
    <row r="100" spans="1:12" ht="15.75" x14ac:dyDescent="0.25">
      <c r="A100" s="797"/>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801" t="str">
        <f>'G-1 All Habitats'!$V$3</f>
        <v>V.High</v>
      </c>
      <c r="K100" s="803">
        <f>SUMIF('B-1 Site Hedge Baseline'!$F$10:$F$257,'Detailed Results'!J100,'B-1 Site Hedge Baseline'!$T$10:$T$257)+SUMIF('E-1 Off Site Hedge Baseline'!$F$10:$F$257,'Detailed Results'!J100,'E-1 Off Site Hedge Baseline'!$T$10:$T$257)</f>
        <v>0</v>
      </c>
      <c r="L100" s="807" t="str">
        <f>IF(K100=0,"",(K100/(SUM($K$100:$K$109)))*100)</f>
        <v/>
      </c>
    </row>
    <row r="101" spans="1:12" ht="15.75" x14ac:dyDescent="0.25">
      <c r="A101" s="797"/>
      <c r="B101" s="329" t="s">
        <v>109</v>
      </c>
      <c r="C101" s="464">
        <f>'G-2 Habitat groups'!E148</f>
        <v>0</v>
      </c>
      <c r="D101" s="464">
        <f>'G-2 Habitat groups'!F148</f>
        <v>0</v>
      </c>
      <c r="E101" s="464">
        <f>'G-2 Habitat groups'!O148</f>
        <v>0</v>
      </c>
      <c r="F101" s="464">
        <f>'G-2 Habitat groups'!P148</f>
        <v>0</v>
      </c>
      <c r="G101" s="464">
        <f t="shared" si="10"/>
        <v>0</v>
      </c>
      <c r="H101" s="464">
        <f t="shared" si="9"/>
        <v>0</v>
      </c>
      <c r="J101" s="802"/>
      <c r="K101" s="804"/>
      <c r="L101" s="808"/>
    </row>
    <row r="102" spans="1:12" ht="15.75" x14ac:dyDescent="0.25">
      <c r="A102" s="797"/>
      <c r="B102" s="329" t="s">
        <v>110</v>
      </c>
      <c r="C102" s="464">
        <f>'G-2 Habitat groups'!E149</f>
        <v>0</v>
      </c>
      <c r="D102" s="464">
        <f>'G-2 Habitat groups'!F149</f>
        <v>0</v>
      </c>
      <c r="E102" s="464">
        <f>'G-2 Habitat groups'!O149</f>
        <v>0</v>
      </c>
      <c r="F102" s="464">
        <f>'G-2 Habitat groups'!P149</f>
        <v>0</v>
      </c>
      <c r="G102" s="464">
        <f t="shared" si="10"/>
        <v>0</v>
      </c>
      <c r="H102" s="464">
        <f t="shared" si="9"/>
        <v>0</v>
      </c>
      <c r="J102" s="801" t="str">
        <f>'G-1 All Habitats'!$V$4</f>
        <v>High</v>
      </c>
      <c r="K102" s="803">
        <f>SUMIF('B-1 Site Hedge Baseline'!$F$10:$F$257,'Detailed Results'!J102,'B-1 Site Hedge Baseline'!$T$10:$T$257)+SUMIF('E-1 Off Site Hedge Baseline'!$F$10:$F$257,'Detailed Results'!J102,'E-1 Off Site Hedge Baseline'!$T$10:$T$257)</f>
        <v>0</v>
      </c>
      <c r="L102" s="807" t="str">
        <f t="shared" ref="L102" si="11">IF(K102=0,"",(K102/(SUM($K$100:$K$109)))*100)</f>
        <v/>
      </c>
    </row>
    <row r="103" spans="1:12" ht="15.75" x14ac:dyDescent="0.25">
      <c r="A103" s="797"/>
      <c r="B103" s="329" t="s">
        <v>111</v>
      </c>
      <c r="C103" s="464">
        <f>'G-2 Habitat groups'!E150</f>
        <v>0</v>
      </c>
      <c r="D103" s="464">
        <f>'G-2 Habitat groups'!F150</f>
        <v>0</v>
      </c>
      <c r="E103" s="464">
        <f>'G-2 Habitat groups'!O150</f>
        <v>0</v>
      </c>
      <c r="F103" s="464">
        <f>'G-2 Habitat groups'!P150</f>
        <v>0</v>
      </c>
      <c r="G103" s="464">
        <f t="shared" si="10"/>
        <v>0</v>
      </c>
      <c r="H103" s="464">
        <f t="shared" si="9"/>
        <v>0</v>
      </c>
      <c r="J103" s="802"/>
      <c r="K103" s="804"/>
      <c r="L103" s="808"/>
    </row>
    <row r="104" spans="1:12" ht="15.75" x14ac:dyDescent="0.25">
      <c r="A104" s="797"/>
      <c r="B104" s="329" t="s">
        <v>112</v>
      </c>
      <c r="C104" s="464">
        <f>'G-2 Habitat groups'!E151</f>
        <v>0</v>
      </c>
      <c r="D104" s="464">
        <f>'G-2 Habitat groups'!F151</f>
        <v>0</v>
      </c>
      <c r="E104" s="464">
        <f>'G-2 Habitat groups'!O151</f>
        <v>0</v>
      </c>
      <c r="F104" s="464">
        <f>'G-2 Habitat groups'!P151</f>
        <v>0</v>
      </c>
      <c r="G104" s="464">
        <f t="shared" si="10"/>
        <v>0</v>
      </c>
      <c r="H104" s="464">
        <f t="shared" si="9"/>
        <v>0</v>
      </c>
      <c r="J104" s="801" t="str">
        <f>'G-1 All Habitats'!$V$5</f>
        <v>Medium</v>
      </c>
      <c r="K104" s="803">
        <f>SUMIF('B-1 Site Hedge Baseline'!$F$10:$F$257,'Detailed Results'!J104,'B-1 Site Hedge Baseline'!$T$10:$T$257)+SUMIF('E-1 Off Site Hedge Baseline'!$F$10:$F$257,'Detailed Results'!J104,'E-1 Off Site Hedge Baseline'!$T$10:$T$257)</f>
        <v>0</v>
      </c>
      <c r="L104" s="807" t="str">
        <f t="shared" ref="L104" si="12">IF(K104=0,"",(K104/(SUM($K$100:$K$109)))*100)</f>
        <v/>
      </c>
    </row>
    <row r="105" spans="1:12" ht="15.75" x14ac:dyDescent="0.25">
      <c r="A105" s="797"/>
      <c r="B105" s="329" t="s">
        <v>113</v>
      </c>
      <c r="C105" s="464">
        <f>'G-2 Habitat groups'!E152</f>
        <v>0</v>
      </c>
      <c r="D105" s="464">
        <f>'G-2 Habitat groups'!F152</f>
        <v>0</v>
      </c>
      <c r="E105" s="464">
        <f>'G-2 Habitat groups'!O152</f>
        <v>0</v>
      </c>
      <c r="F105" s="464">
        <f>'G-2 Habitat groups'!P152</f>
        <v>0</v>
      </c>
      <c r="G105" s="464">
        <f t="shared" si="10"/>
        <v>0</v>
      </c>
      <c r="H105" s="464">
        <f t="shared" si="9"/>
        <v>0</v>
      </c>
      <c r="J105" s="802"/>
      <c r="K105" s="804"/>
      <c r="L105" s="808"/>
    </row>
    <row r="106" spans="1:12" ht="15.75" x14ac:dyDescent="0.25">
      <c r="A106" s="797"/>
      <c r="B106" s="330" t="s">
        <v>114</v>
      </c>
      <c r="C106" s="464">
        <f>'G-2 Habitat groups'!E153</f>
        <v>0</v>
      </c>
      <c r="D106" s="464">
        <f>'G-2 Habitat groups'!F153</f>
        <v>0</v>
      </c>
      <c r="E106" s="464">
        <f>'G-2 Habitat groups'!O153</f>
        <v>0</v>
      </c>
      <c r="F106" s="464">
        <f>'G-2 Habitat groups'!P153</f>
        <v>0</v>
      </c>
      <c r="G106" s="464">
        <f t="shared" si="10"/>
        <v>0</v>
      </c>
      <c r="H106" s="464">
        <f t="shared" si="9"/>
        <v>0</v>
      </c>
      <c r="J106" s="801" t="str">
        <f>'G-1 All Habitats'!$V$6</f>
        <v>Low</v>
      </c>
      <c r="K106" s="803">
        <f>SUMIF('B-1 Site Hedge Baseline'!$F$10:$F$257,'Detailed Results'!J106,'B-1 Site Hedge Baseline'!$T$10:$T$257)+SUMIF('E-1 Off Site Hedge Baseline'!$F$10:$F$257,'Detailed Results'!J106,'E-1 Off Site Hedge Baseline'!$T$10:$T$257)</f>
        <v>0</v>
      </c>
      <c r="L106" s="807" t="str">
        <f t="shared" ref="L106" si="13">IF(K106=0,"",(K106/(SUM($K$100:$K$109)))*100)</f>
        <v/>
      </c>
    </row>
    <row r="107" spans="1:12" ht="15.75" x14ac:dyDescent="0.25">
      <c r="A107" s="797"/>
      <c r="B107" s="331" t="s">
        <v>115</v>
      </c>
      <c r="C107" s="464">
        <f>'G-2 Habitat groups'!E154</f>
        <v>0</v>
      </c>
      <c r="D107" s="464">
        <f>'G-2 Habitat groups'!F154</f>
        <v>0</v>
      </c>
      <c r="E107" s="464">
        <f>'G-2 Habitat groups'!O154</f>
        <v>0</v>
      </c>
      <c r="F107" s="464">
        <f>'G-2 Habitat groups'!P154</f>
        <v>0</v>
      </c>
      <c r="G107" s="464">
        <f t="shared" si="10"/>
        <v>0</v>
      </c>
      <c r="H107" s="464">
        <f t="shared" si="9"/>
        <v>0</v>
      </c>
      <c r="J107" s="802"/>
      <c r="K107" s="804"/>
      <c r="L107" s="808"/>
    </row>
    <row r="108" spans="1:12" ht="15.75" x14ac:dyDescent="0.25">
      <c r="A108" s="797"/>
      <c r="B108" s="331" t="s">
        <v>116</v>
      </c>
      <c r="C108" s="464">
        <f>'G-2 Habitat groups'!E155</f>
        <v>0</v>
      </c>
      <c r="D108" s="464">
        <f>'G-2 Habitat groups'!F155</f>
        <v>0</v>
      </c>
      <c r="E108" s="464">
        <f>'G-2 Habitat groups'!O155</f>
        <v>0</v>
      </c>
      <c r="F108" s="464">
        <f>'G-2 Habitat groups'!P155</f>
        <v>0</v>
      </c>
      <c r="G108" s="464">
        <f t="shared" si="10"/>
        <v>0</v>
      </c>
      <c r="H108" s="464">
        <f t="shared" si="9"/>
        <v>0</v>
      </c>
      <c r="J108" s="801" t="str">
        <f>'G-1 All Habitats'!$V$7</f>
        <v>V.Low</v>
      </c>
      <c r="K108" s="803">
        <f>SUMIF('B-1 Site Hedge Baseline'!$F$10:$F$257,'Detailed Results'!J108,'B-1 Site Hedge Baseline'!$T$10:$T$257)+SUMIF('E-1 Off Site Hedge Baseline'!$F$10:$F$257,'Detailed Results'!J108,'E-1 Off Site Hedge Baseline'!$T$10:$T$257)</f>
        <v>0</v>
      </c>
      <c r="L108" s="807" t="str">
        <f t="shared" ref="L108" si="14">IF(K108=0,"",(K108/(SUM($K$100:$K$109)))*100)</f>
        <v/>
      </c>
    </row>
    <row r="109" spans="1:12" ht="16.5" thickBot="1" x14ac:dyDescent="0.3">
      <c r="A109" s="797"/>
      <c r="B109" s="331" t="s">
        <v>117</v>
      </c>
      <c r="C109" s="464">
        <f>'G-2 Habitat groups'!E156</f>
        <v>0</v>
      </c>
      <c r="D109" s="464">
        <f>'G-2 Habitat groups'!F156</f>
        <v>0</v>
      </c>
      <c r="E109" s="464">
        <f>'G-2 Habitat groups'!O156</f>
        <v>0</v>
      </c>
      <c r="F109" s="464">
        <f>'G-2 Habitat groups'!P156</f>
        <v>0</v>
      </c>
      <c r="G109" s="464">
        <f t="shared" si="10"/>
        <v>0</v>
      </c>
      <c r="H109" s="464">
        <f t="shared" si="9"/>
        <v>0</v>
      </c>
      <c r="J109" s="806"/>
      <c r="K109" s="804"/>
      <c r="L109" s="808"/>
    </row>
    <row r="110" spans="1:12" ht="15.75" x14ac:dyDescent="0.25">
      <c r="A110" s="797"/>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75" x14ac:dyDescent="0.25">
      <c r="A111" s="797"/>
      <c r="B111" s="331" t="s">
        <v>119</v>
      </c>
      <c r="C111" s="464">
        <f>'G-2 Habitat groups'!E158</f>
        <v>0</v>
      </c>
      <c r="D111" s="464">
        <f>'G-2 Habitat groups'!F158</f>
        <v>0</v>
      </c>
      <c r="E111" s="464">
        <f>'G-2 Habitat groups'!O158</f>
        <v>0</v>
      </c>
      <c r="F111" s="464">
        <f>'G-2 Habitat groups'!P158</f>
        <v>0</v>
      </c>
      <c r="G111" s="464">
        <f t="shared" si="10"/>
        <v>0</v>
      </c>
      <c r="H111" s="464">
        <f t="shared" si="9"/>
        <v>0</v>
      </c>
    </row>
    <row r="112" spans="1:12" x14ac:dyDescent="0.25">
      <c r="A112" s="797"/>
    </row>
    <row r="113" spans="1:8" x14ac:dyDescent="0.25">
      <c r="A113" s="797"/>
    </row>
    <row r="114" spans="1:8" x14ac:dyDescent="0.25">
      <c r="A114" s="797"/>
    </row>
    <row r="115" spans="1:8" ht="15.75" thickBot="1" x14ac:dyDescent="0.3">
      <c r="A115" s="797"/>
    </row>
    <row r="116" spans="1:8" ht="19.5" thickBot="1" x14ac:dyDescent="0.35">
      <c r="A116" s="797"/>
      <c r="B116" s="805" t="s">
        <v>120</v>
      </c>
      <c r="C116" s="805"/>
      <c r="D116" s="805"/>
      <c r="E116" s="805"/>
      <c r="F116" s="805"/>
      <c r="G116" s="805"/>
      <c r="H116" s="805"/>
    </row>
    <row r="117" spans="1:8" ht="16.5" thickBot="1" x14ac:dyDescent="0.3">
      <c r="A117" s="797"/>
      <c r="B117" s="35"/>
      <c r="C117" s="788" t="s">
        <v>121</v>
      </c>
      <c r="D117" s="788"/>
      <c r="E117" s="788" t="s">
        <v>122</v>
      </c>
      <c r="F117" s="788"/>
      <c r="G117" s="788" t="s">
        <v>123</v>
      </c>
      <c r="H117" s="788"/>
    </row>
    <row r="118" spans="1:8" ht="48" thickBot="1" x14ac:dyDescent="0.3">
      <c r="A118" s="797"/>
      <c r="B118" s="323" t="s">
        <v>99</v>
      </c>
      <c r="C118" s="35" t="s">
        <v>124</v>
      </c>
      <c r="D118" s="35" t="s">
        <v>125</v>
      </c>
      <c r="E118" s="35" t="s">
        <v>126</v>
      </c>
      <c r="F118" s="35" t="s">
        <v>127</v>
      </c>
      <c r="G118" s="35" t="s">
        <v>128</v>
      </c>
      <c r="H118" s="35" t="s">
        <v>129</v>
      </c>
    </row>
    <row r="119" spans="1:8" ht="15.75" x14ac:dyDescent="0.25">
      <c r="A119" s="797"/>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75" x14ac:dyDescent="0.25">
      <c r="A120" s="797"/>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75" x14ac:dyDescent="0.25">
      <c r="A121" s="797"/>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75" x14ac:dyDescent="0.25">
      <c r="A122" s="797"/>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75" x14ac:dyDescent="0.25">
      <c r="A123" s="797"/>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75" x14ac:dyDescent="0.25">
      <c r="A124" s="797"/>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75" x14ac:dyDescent="0.25">
      <c r="A125" s="797"/>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75" x14ac:dyDescent="0.25">
      <c r="A126" s="797"/>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75" x14ac:dyDescent="0.25">
      <c r="A127" s="797"/>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75" x14ac:dyDescent="0.25">
      <c r="A128" s="797"/>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75" x14ac:dyDescent="0.25">
      <c r="A129" s="797"/>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75" x14ac:dyDescent="0.25">
      <c r="A130" s="797"/>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75" x14ac:dyDescent="0.25">
      <c r="A131" s="797"/>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25">
      <c r="A132" s="797"/>
      <c r="B132" s="40"/>
      <c r="C132" s="40"/>
    </row>
    <row r="133" spans="1:8" x14ac:dyDescent="0.25">
      <c r="A133" s="797"/>
      <c r="B133" s="40"/>
      <c r="C133" s="40"/>
    </row>
    <row r="134" spans="1:8" x14ac:dyDescent="0.25">
      <c r="A134" s="797"/>
      <c r="B134" s="40"/>
      <c r="C134" s="40"/>
    </row>
    <row r="135" spans="1:8" ht="15.75" thickBot="1" x14ac:dyDescent="0.3">
      <c r="A135" s="797"/>
      <c r="B135" s="40"/>
      <c r="C135" s="40"/>
    </row>
    <row r="136" spans="1:8" ht="19.5" thickBot="1" x14ac:dyDescent="0.35">
      <c r="A136" s="797"/>
      <c r="B136" s="805" t="s">
        <v>131</v>
      </c>
      <c r="C136" s="805"/>
      <c r="D136" s="805"/>
      <c r="E136" s="805"/>
      <c r="F136" s="805"/>
      <c r="G136" s="805"/>
      <c r="H136" s="805"/>
    </row>
    <row r="137" spans="1:8" ht="16.5" thickBot="1" x14ac:dyDescent="0.3">
      <c r="A137" s="797"/>
      <c r="B137" s="35"/>
      <c r="C137" s="788" t="s">
        <v>56</v>
      </c>
      <c r="D137" s="788"/>
      <c r="E137" s="788" t="s">
        <v>57</v>
      </c>
      <c r="F137" s="788"/>
      <c r="G137" s="788" t="s">
        <v>58</v>
      </c>
      <c r="H137" s="788"/>
    </row>
    <row r="138" spans="1:8" ht="32.25" thickBot="1" x14ac:dyDescent="0.3">
      <c r="A138" s="797"/>
      <c r="B138" s="323" t="s">
        <v>99</v>
      </c>
      <c r="C138" s="35" t="s">
        <v>132</v>
      </c>
      <c r="D138" s="35" t="s">
        <v>61</v>
      </c>
      <c r="E138" s="35" t="s">
        <v>133</v>
      </c>
      <c r="F138" s="35" t="s">
        <v>63</v>
      </c>
      <c r="G138" s="35" t="s">
        <v>134</v>
      </c>
      <c r="H138" s="35" t="s">
        <v>65</v>
      </c>
    </row>
    <row r="139" spans="1:8" ht="15.75" x14ac:dyDescent="0.25">
      <c r="A139" s="797"/>
      <c r="B139" s="335" t="s">
        <v>107</v>
      </c>
      <c r="C139" s="466">
        <f>C99+C119</f>
        <v>0</v>
      </c>
      <c r="D139" s="466">
        <f t="shared" ref="D139:H139" si="17">D99+D119</f>
        <v>0</v>
      </c>
      <c r="E139" s="466">
        <f t="shared" si="17"/>
        <v>0</v>
      </c>
      <c r="F139" s="466">
        <f t="shared" si="17"/>
        <v>0</v>
      </c>
      <c r="G139" s="466">
        <f>G99+G119</f>
        <v>0</v>
      </c>
      <c r="H139" s="466">
        <f t="shared" si="17"/>
        <v>0</v>
      </c>
    </row>
    <row r="140" spans="1:8" ht="15.75" x14ac:dyDescent="0.25">
      <c r="A140" s="797"/>
      <c r="B140" s="336" t="s">
        <v>108</v>
      </c>
      <c r="C140" s="466">
        <f t="shared" ref="C140:H140" si="18">C100+C120</f>
        <v>0</v>
      </c>
      <c r="D140" s="466">
        <f t="shared" si="18"/>
        <v>0</v>
      </c>
      <c r="E140" s="466">
        <f t="shared" si="18"/>
        <v>0</v>
      </c>
      <c r="F140" s="466">
        <f t="shared" si="18"/>
        <v>0</v>
      </c>
      <c r="G140" s="466">
        <f t="shared" si="18"/>
        <v>0</v>
      </c>
      <c r="H140" s="466">
        <f t="shared" si="18"/>
        <v>0</v>
      </c>
    </row>
    <row r="141" spans="1:8" ht="15.75" x14ac:dyDescent="0.25">
      <c r="A141" s="797"/>
      <c r="B141" s="336" t="s">
        <v>109</v>
      </c>
      <c r="C141" s="466">
        <f>C101+C121</f>
        <v>0</v>
      </c>
      <c r="D141" s="466">
        <f t="shared" ref="D141:H141" si="19">D101+D121</f>
        <v>0</v>
      </c>
      <c r="E141" s="466">
        <f t="shared" si="19"/>
        <v>0</v>
      </c>
      <c r="F141" s="466">
        <f t="shared" si="19"/>
        <v>0</v>
      </c>
      <c r="G141" s="466">
        <f t="shared" si="19"/>
        <v>0</v>
      </c>
      <c r="H141" s="466">
        <f t="shared" si="19"/>
        <v>0</v>
      </c>
    </row>
    <row r="142" spans="1:8" ht="15.75" x14ac:dyDescent="0.25">
      <c r="A142" s="797"/>
      <c r="B142" s="336" t="s">
        <v>110</v>
      </c>
      <c r="C142" s="466">
        <f t="shared" ref="C142:H142" si="20">C102+C122</f>
        <v>0</v>
      </c>
      <c r="D142" s="466">
        <f t="shared" si="20"/>
        <v>0</v>
      </c>
      <c r="E142" s="466">
        <f t="shared" si="20"/>
        <v>0</v>
      </c>
      <c r="F142" s="466">
        <f t="shared" si="20"/>
        <v>0</v>
      </c>
      <c r="G142" s="466">
        <f t="shared" si="20"/>
        <v>0</v>
      </c>
      <c r="H142" s="466">
        <f t="shared" si="20"/>
        <v>0</v>
      </c>
    </row>
    <row r="143" spans="1:8" ht="15.75" x14ac:dyDescent="0.25">
      <c r="A143" s="797"/>
      <c r="B143" s="336" t="s">
        <v>111</v>
      </c>
      <c r="C143" s="466">
        <f t="shared" ref="C143:H143" si="21">C103+C123</f>
        <v>0</v>
      </c>
      <c r="D143" s="466">
        <f t="shared" si="21"/>
        <v>0</v>
      </c>
      <c r="E143" s="466">
        <f t="shared" si="21"/>
        <v>0</v>
      </c>
      <c r="F143" s="466">
        <f t="shared" si="21"/>
        <v>0</v>
      </c>
      <c r="G143" s="466">
        <f t="shared" si="21"/>
        <v>0</v>
      </c>
      <c r="H143" s="466">
        <f t="shared" si="21"/>
        <v>0</v>
      </c>
    </row>
    <row r="144" spans="1:8" ht="15.75" x14ac:dyDescent="0.25">
      <c r="A144" s="797"/>
      <c r="B144" s="336" t="s">
        <v>112</v>
      </c>
      <c r="C144" s="466">
        <f t="shared" ref="C144:H144" si="22">C104+C124</f>
        <v>0</v>
      </c>
      <c r="D144" s="466">
        <f t="shared" si="22"/>
        <v>0</v>
      </c>
      <c r="E144" s="466">
        <f t="shared" si="22"/>
        <v>0</v>
      </c>
      <c r="F144" s="466">
        <f t="shared" si="22"/>
        <v>0</v>
      </c>
      <c r="G144" s="466">
        <f t="shared" si="22"/>
        <v>0</v>
      </c>
      <c r="H144" s="466">
        <f t="shared" si="22"/>
        <v>0</v>
      </c>
    </row>
    <row r="145" spans="1:12" ht="15.75" x14ac:dyDescent="0.25">
      <c r="A145" s="797"/>
      <c r="B145" s="336" t="s">
        <v>113</v>
      </c>
      <c r="C145" s="466">
        <f t="shared" ref="C145:H145" si="23">C105+C125</f>
        <v>0</v>
      </c>
      <c r="D145" s="466">
        <f t="shared" si="23"/>
        <v>0</v>
      </c>
      <c r="E145" s="466">
        <f t="shared" si="23"/>
        <v>0</v>
      </c>
      <c r="F145" s="466">
        <f t="shared" si="23"/>
        <v>0</v>
      </c>
      <c r="G145" s="466">
        <f t="shared" si="23"/>
        <v>0</v>
      </c>
      <c r="H145" s="466">
        <f t="shared" si="23"/>
        <v>0</v>
      </c>
    </row>
    <row r="146" spans="1:12" ht="15.75" x14ac:dyDescent="0.25">
      <c r="A146" s="797"/>
      <c r="B146" s="336" t="s">
        <v>114</v>
      </c>
      <c r="C146" s="466">
        <f t="shared" ref="C146:H146" si="24">C106+C126</f>
        <v>0</v>
      </c>
      <c r="D146" s="466">
        <f t="shared" si="24"/>
        <v>0</v>
      </c>
      <c r="E146" s="466">
        <f t="shared" si="24"/>
        <v>0</v>
      </c>
      <c r="F146" s="466">
        <f t="shared" si="24"/>
        <v>0</v>
      </c>
      <c r="G146" s="466">
        <f t="shared" si="24"/>
        <v>0</v>
      </c>
      <c r="H146" s="466">
        <f t="shared" si="24"/>
        <v>0</v>
      </c>
    </row>
    <row r="147" spans="1:12" ht="15.75" x14ac:dyDescent="0.25">
      <c r="A147" s="797"/>
      <c r="B147" s="331" t="s">
        <v>115</v>
      </c>
      <c r="C147" s="466">
        <f t="shared" ref="C147:H147" si="25">C107+C127</f>
        <v>0</v>
      </c>
      <c r="D147" s="466">
        <f t="shared" si="25"/>
        <v>0</v>
      </c>
      <c r="E147" s="466">
        <f t="shared" si="25"/>
        <v>0</v>
      </c>
      <c r="F147" s="466">
        <f t="shared" si="25"/>
        <v>0</v>
      </c>
      <c r="G147" s="466">
        <f t="shared" si="25"/>
        <v>0</v>
      </c>
      <c r="H147" s="466">
        <f t="shared" si="25"/>
        <v>0</v>
      </c>
    </row>
    <row r="148" spans="1:12" ht="15.75" x14ac:dyDescent="0.25">
      <c r="A148" s="797"/>
      <c r="B148" s="331" t="s">
        <v>116</v>
      </c>
      <c r="C148" s="466">
        <f t="shared" ref="C148:H148" si="26">C108+C128</f>
        <v>0</v>
      </c>
      <c r="D148" s="466">
        <f t="shared" si="26"/>
        <v>0</v>
      </c>
      <c r="E148" s="466">
        <f t="shared" si="26"/>
        <v>0</v>
      </c>
      <c r="F148" s="466">
        <f t="shared" si="26"/>
        <v>0</v>
      </c>
      <c r="G148" s="466">
        <f t="shared" si="26"/>
        <v>0</v>
      </c>
      <c r="H148" s="466">
        <f t="shared" si="26"/>
        <v>0</v>
      </c>
    </row>
    <row r="149" spans="1:12" ht="15.75" x14ac:dyDescent="0.25">
      <c r="A149" s="797"/>
      <c r="B149" s="331" t="s">
        <v>117</v>
      </c>
      <c r="C149" s="466">
        <f t="shared" ref="C149:H149" si="27">C109+C129</f>
        <v>0</v>
      </c>
      <c r="D149" s="466">
        <f t="shared" si="27"/>
        <v>0</v>
      </c>
      <c r="E149" s="466">
        <f t="shared" si="27"/>
        <v>0</v>
      </c>
      <c r="F149" s="466">
        <f t="shared" si="27"/>
        <v>0</v>
      </c>
      <c r="G149" s="466">
        <f t="shared" si="27"/>
        <v>0</v>
      </c>
      <c r="H149" s="466">
        <f t="shared" si="27"/>
        <v>0</v>
      </c>
    </row>
    <row r="150" spans="1:12" ht="15.75" x14ac:dyDescent="0.25">
      <c r="A150" s="797"/>
      <c r="B150" s="331" t="s">
        <v>130</v>
      </c>
      <c r="C150" s="466">
        <f t="shared" ref="C150:H150" si="28">C110+C130</f>
        <v>0</v>
      </c>
      <c r="D150" s="466">
        <f t="shared" si="28"/>
        <v>0</v>
      </c>
      <c r="E150" s="466">
        <f t="shared" si="28"/>
        <v>0</v>
      </c>
      <c r="F150" s="466">
        <f t="shared" si="28"/>
        <v>0</v>
      </c>
      <c r="G150" s="466">
        <f t="shared" si="28"/>
        <v>0</v>
      </c>
      <c r="H150" s="466">
        <f t="shared" si="28"/>
        <v>0</v>
      </c>
    </row>
    <row r="151" spans="1:12" ht="15.75" x14ac:dyDescent="0.25">
      <c r="A151" s="797"/>
      <c r="B151" s="331" t="s">
        <v>119</v>
      </c>
      <c r="C151" s="466">
        <f t="shared" ref="C151:H151" si="29">C111+C131</f>
        <v>0</v>
      </c>
      <c r="D151" s="466">
        <f t="shared" si="29"/>
        <v>0</v>
      </c>
      <c r="E151" s="466">
        <f t="shared" si="29"/>
        <v>0</v>
      </c>
      <c r="F151" s="466">
        <f t="shared" si="29"/>
        <v>0</v>
      </c>
      <c r="G151" s="466">
        <f t="shared" si="29"/>
        <v>0</v>
      </c>
      <c r="H151" s="466">
        <f t="shared" si="29"/>
        <v>0</v>
      </c>
    </row>
    <row r="152" spans="1:12" x14ac:dyDescent="0.25">
      <c r="A152" s="797"/>
    </row>
    <row r="153" spans="1:12" ht="15.75" thickBot="1" x14ac:dyDescent="0.3">
      <c r="A153" s="798"/>
    </row>
    <row r="154" spans="1:12" s="333" customFormat="1" ht="31.9" customHeight="1" thickTop="1" x14ac:dyDescent="0.25">
      <c r="A154" s="799" t="s">
        <v>135</v>
      </c>
    </row>
    <row r="155" spans="1:12" ht="15.75" thickBot="1" x14ac:dyDescent="0.3">
      <c r="A155" s="800"/>
    </row>
    <row r="156" spans="1:12" ht="26.25" thickBot="1" x14ac:dyDescent="0.4">
      <c r="A156" s="800"/>
      <c r="B156" s="825" t="s">
        <v>136</v>
      </c>
      <c r="C156" s="826"/>
      <c r="D156" s="827"/>
    </row>
    <row r="157" spans="1:12" x14ac:dyDescent="0.25">
      <c r="A157" s="800"/>
    </row>
    <row r="158" spans="1:12" ht="15.75" thickBot="1" x14ac:dyDescent="0.3">
      <c r="A158" s="800"/>
    </row>
    <row r="159" spans="1:12" ht="19.5" thickBot="1" x14ac:dyDescent="0.35">
      <c r="A159" s="800"/>
      <c r="B159" s="805" t="s">
        <v>137</v>
      </c>
      <c r="C159" s="805"/>
      <c r="D159" s="805"/>
      <c r="E159" s="805"/>
      <c r="F159" s="805"/>
      <c r="G159" s="805"/>
      <c r="H159" s="805"/>
      <c r="J159" s="809" t="s">
        <v>98</v>
      </c>
      <c r="K159" s="810"/>
      <c r="L159" s="811"/>
    </row>
    <row r="160" spans="1:12" ht="16.5" thickBot="1" x14ac:dyDescent="0.3">
      <c r="A160" s="800"/>
      <c r="B160" s="35"/>
      <c r="C160" s="788" t="s">
        <v>56</v>
      </c>
      <c r="D160" s="788"/>
      <c r="E160" s="788" t="s">
        <v>57</v>
      </c>
      <c r="F160" s="788"/>
      <c r="G160" s="788" t="s">
        <v>58</v>
      </c>
      <c r="H160" s="788"/>
      <c r="J160" s="812"/>
      <c r="K160" s="813"/>
      <c r="L160" s="814"/>
    </row>
    <row r="161" spans="1:12" ht="32.25" thickBot="1" x14ac:dyDescent="0.3">
      <c r="A161" s="800"/>
      <c r="B161" s="323" t="s">
        <v>138</v>
      </c>
      <c r="C161" s="35" t="s">
        <v>132</v>
      </c>
      <c r="D161" s="35" t="s">
        <v>61</v>
      </c>
      <c r="E161" s="35" t="s">
        <v>133</v>
      </c>
      <c r="F161" s="35" t="s">
        <v>63</v>
      </c>
      <c r="G161" s="35" t="s">
        <v>134</v>
      </c>
      <c r="H161" s="35" t="s">
        <v>65</v>
      </c>
      <c r="J161" s="815" t="s">
        <v>66</v>
      </c>
      <c r="K161" s="817" t="s">
        <v>105</v>
      </c>
      <c r="L161" s="819" t="s">
        <v>106</v>
      </c>
    </row>
    <row r="162" spans="1:12" ht="15.75" x14ac:dyDescent="0.25">
      <c r="A162" s="800"/>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816"/>
      <c r="K162" s="818"/>
      <c r="L162" s="820"/>
    </row>
    <row r="163" spans="1:12" ht="15.75" x14ac:dyDescent="0.25">
      <c r="A163" s="800"/>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801" t="str">
        <f>'G-1 All Habitats'!$V$3</f>
        <v>V.High</v>
      </c>
      <c r="K163" s="803">
        <f>SUMIF('C-1 Site River Baseline'!$F$10:$F$257,'Detailed Results'!J163,'C-1 Site River Baseline'!$X$10:$X$257)+SUMIF('F-1 Off Site River Baseline'!$F$10:$F$257,'Detailed Results'!J163,'F-1 Off Site River Baseline'!$X$10:$X$257)</f>
        <v>0</v>
      </c>
      <c r="L163" s="807" t="str">
        <f>IF(K163=0,"",(K163/(SUM($K$163:$K$170)))*100)</f>
        <v/>
      </c>
    </row>
    <row r="164" spans="1:12" ht="15.75" x14ac:dyDescent="0.25">
      <c r="A164" s="800"/>
      <c r="B164" s="329" t="s">
        <v>141</v>
      </c>
      <c r="C164" s="471">
        <f>'G-2 Habitat groups'!E170</f>
        <v>0</v>
      </c>
      <c r="D164" s="471">
        <f>'G-2 Habitat groups'!F170</f>
        <v>0</v>
      </c>
      <c r="E164" s="471">
        <f>'G-2 Habitat groups'!O170</f>
        <v>0</v>
      </c>
      <c r="F164" s="471">
        <f>'G-2 Habitat groups'!P170</f>
        <v>0</v>
      </c>
      <c r="G164" s="471">
        <f t="shared" si="31"/>
        <v>0</v>
      </c>
      <c r="H164" s="471">
        <f t="shared" si="32"/>
        <v>0</v>
      </c>
      <c r="J164" s="802"/>
      <c r="K164" s="804"/>
      <c r="L164" s="808"/>
    </row>
    <row r="165" spans="1:12" ht="15.75" x14ac:dyDescent="0.25">
      <c r="A165" s="800"/>
      <c r="B165" s="329" t="s">
        <v>142</v>
      </c>
      <c r="C165" s="471">
        <f>'G-2 Habitat groups'!E171</f>
        <v>0</v>
      </c>
      <c r="D165" s="471">
        <f>'G-2 Habitat groups'!F171</f>
        <v>0</v>
      </c>
      <c r="E165" s="471">
        <f>'G-2 Habitat groups'!O171</f>
        <v>0</v>
      </c>
      <c r="F165" s="471">
        <f>'G-2 Habitat groups'!P171</f>
        <v>0</v>
      </c>
      <c r="G165" s="471">
        <f t="shared" si="31"/>
        <v>0</v>
      </c>
      <c r="H165" s="471">
        <f t="shared" si="32"/>
        <v>0</v>
      </c>
      <c r="J165" s="801" t="str">
        <f>'G-1 All Habitats'!$V$4</f>
        <v>High</v>
      </c>
      <c r="K165" s="803">
        <f>SUMIF('C-1 Site River Baseline'!$F$10:$F$257,'Detailed Results'!J165,'C-1 Site River Baseline'!$X$10:$X$257)+SUMIF('F-1 Off Site River Baseline'!$F$10:$F$257,'Detailed Results'!J165,'F-1 Off Site River Baseline'!$X$10:$X$257)</f>
        <v>0</v>
      </c>
      <c r="L165" s="807" t="str">
        <f t="shared" ref="L165" si="33">IF(K165=0,"",(K165/(SUM($K$163:$K$170)))*100)</f>
        <v/>
      </c>
    </row>
    <row r="166" spans="1:12" ht="15.75" x14ac:dyDescent="0.25">
      <c r="A166" s="800"/>
      <c r="B166" s="329" t="s">
        <v>143</v>
      </c>
      <c r="C166" s="471">
        <f>'G-2 Habitat groups'!E172</f>
        <v>0</v>
      </c>
      <c r="D166" s="471">
        <f>'G-2 Habitat groups'!F172</f>
        <v>0</v>
      </c>
      <c r="E166" s="471">
        <f>'G-2 Habitat groups'!O172</f>
        <v>0</v>
      </c>
      <c r="F166" s="471">
        <f>'G-2 Habitat groups'!P172</f>
        <v>0</v>
      </c>
      <c r="G166" s="471">
        <f t="shared" si="31"/>
        <v>0</v>
      </c>
      <c r="H166" s="471">
        <f t="shared" si="32"/>
        <v>0</v>
      </c>
      <c r="J166" s="802"/>
      <c r="K166" s="804"/>
      <c r="L166" s="808"/>
    </row>
    <row r="167" spans="1:12" x14ac:dyDescent="0.25">
      <c r="A167" s="800"/>
      <c r="J167" s="801" t="str">
        <f>'G-1 All Habitats'!$V$5</f>
        <v>Medium</v>
      </c>
      <c r="K167" s="803">
        <f>SUMIF('C-1 Site River Baseline'!$F$10:$F$257,'Detailed Results'!J167,'C-1 Site River Baseline'!$X$10:$X$257)+SUMIF('F-1 Off Site River Baseline'!$F$10:$F$257,'Detailed Results'!J167,'F-1 Off Site River Baseline'!$X$10:$X$257)</f>
        <v>0</v>
      </c>
      <c r="L167" s="807" t="str">
        <f t="shared" ref="L167" si="34">IF(K167=0,"",(K167/(SUM($K$163:$K$170)))*100)</f>
        <v/>
      </c>
    </row>
    <row r="168" spans="1:12" x14ac:dyDescent="0.25">
      <c r="A168" s="800"/>
      <c r="J168" s="802"/>
      <c r="K168" s="804"/>
      <c r="L168" s="808"/>
    </row>
    <row r="169" spans="1:12" x14ac:dyDescent="0.25">
      <c r="A169" s="800"/>
      <c r="J169" s="801" t="str">
        <f>'G-1 All Habitats'!$V$6</f>
        <v>Low</v>
      </c>
      <c r="K169" s="803">
        <f>SUMIF('C-1 Site River Baseline'!$F$10:$F$257,'Detailed Results'!J169,'C-1 Site River Baseline'!$X$10:$X$257)+SUMIF('F-1 Off Site River Baseline'!$F$10:$F$257,'Detailed Results'!J169,'F-1 Off Site River Baseline'!$X$10:$X$257)</f>
        <v>0</v>
      </c>
      <c r="L169" s="807" t="str">
        <f t="shared" ref="L169" si="35">IF(K169=0,"",(K169/(SUM($K$163:$K$170)))*100)</f>
        <v/>
      </c>
    </row>
    <row r="170" spans="1:12" x14ac:dyDescent="0.25">
      <c r="A170" s="800"/>
      <c r="J170" s="802"/>
      <c r="K170" s="804"/>
      <c r="L170" s="808"/>
    </row>
    <row r="171" spans="1:12" x14ac:dyDescent="0.25">
      <c r="A171" s="800"/>
    </row>
    <row r="172" spans="1:12" x14ac:dyDescent="0.25">
      <c r="A172" s="800"/>
    </row>
    <row r="173" spans="1:12" x14ac:dyDescent="0.25">
      <c r="A173" s="800"/>
    </row>
    <row r="174" spans="1:12" x14ac:dyDescent="0.25">
      <c r="A174" s="800"/>
    </row>
    <row r="175" spans="1:12" x14ac:dyDescent="0.25">
      <c r="A175" s="800"/>
    </row>
    <row r="176" spans="1:12" x14ac:dyDescent="0.25">
      <c r="A176" s="800"/>
    </row>
    <row r="177" spans="1:8" x14ac:dyDescent="0.25">
      <c r="A177" s="800"/>
    </row>
    <row r="178" spans="1:8" ht="15.75" thickBot="1" x14ac:dyDescent="0.3">
      <c r="A178" s="800"/>
    </row>
    <row r="179" spans="1:8" ht="19.5" thickBot="1" x14ac:dyDescent="0.35">
      <c r="A179" s="800"/>
      <c r="B179" s="805" t="s">
        <v>144</v>
      </c>
      <c r="C179" s="805"/>
      <c r="D179" s="805"/>
      <c r="E179" s="805"/>
      <c r="F179" s="805"/>
      <c r="G179" s="805"/>
      <c r="H179" s="805"/>
    </row>
    <row r="180" spans="1:8" ht="16.5" thickBot="1" x14ac:dyDescent="0.3">
      <c r="A180" s="800"/>
      <c r="B180" s="35"/>
      <c r="C180" s="788" t="s">
        <v>56</v>
      </c>
      <c r="D180" s="788"/>
      <c r="E180" s="788" t="s">
        <v>145</v>
      </c>
      <c r="F180" s="788"/>
      <c r="G180" s="788" t="s">
        <v>84</v>
      </c>
      <c r="H180" s="788"/>
    </row>
    <row r="181" spans="1:8" ht="48" thickBot="1" x14ac:dyDescent="0.3">
      <c r="A181" s="800"/>
      <c r="B181" s="323" t="s">
        <v>138</v>
      </c>
      <c r="C181" s="35" t="s">
        <v>124</v>
      </c>
      <c r="D181" s="35" t="s">
        <v>125</v>
      </c>
      <c r="E181" s="35" t="s">
        <v>126</v>
      </c>
      <c r="F181" s="35" t="s">
        <v>127</v>
      </c>
      <c r="G181" s="35" t="s">
        <v>128</v>
      </c>
      <c r="H181" s="35" t="s">
        <v>89</v>
      </c>
    </row>
    <row r="182" spans="1:8" ht="15.75" x14ac:dyDescent="0.25">
      <c r="A182" s="800"/>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75" x14ac:dyDescent="0.25">
      <c r="A183" s="800"/>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75" x14ac:dyDescent="0.25">
      <c r="A184" s="800"/>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75" x14ac:dyDescent="0.25">
      <c r="A185" s="800"/>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75" x14ac:dyDescent="0.25">
      <c r="A186" s="800"/>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25">
      <c r="A187" s="800"/>
      <c r="B187" s="40"/>
      <c r="C187" s="40"/>
      <c r="D187" s="40"/>
      <c r="E187" s="40"/>
      <c r="F187" s="40"/>
      <c r="G187" s="40"/>
      <c r="H187" s="40"/>
    </row>
    <row r="188" spans="1:8" x14ac:dyDescent="0.25">
      <c r="A188" s="800"/>
      <c r="B188" s="40"/>
      <c r="C188" s="40"/>
      <c r="D188" s="40"/>
      <c r="E188" s="40"/>
      <c r="F188" s="40"/>
      <c r="G188" s="40"/>
      <c r="H188" s="40"/>
    </row>
    <row r="189" spans="1:8" x14ac:dyDescent="0.25">
      <c r="A189" s="800"/>
      <c r="B189" s="40"/>
      <c r="C189" s="40"/>
      <c r="D189" s="40"/>
      <c r="E189" s="40"/>
      <c r="F189" s="40"/>
      <c r="G189" s="40"/>
      <c r="H189" s="40"/>
    </row>
    <row r="190" spans="1:8" x14ac:dyDescent="0.25">
      <c r="A190" s="800"/>
      <c r="B190" s="40"/>
      <c r="C190" s="40"/>
      <c r="D190" s="40"/>
      <c r="E190" s="40"/>
      <c r="F190" s="40"/>
      <c r="G190" s="40"/>
      <c r="H190" s="40"/>
    </row>
    <row r="191" spans="1:8" x14ac:dyDescent="0.25">
      <c r="A191" s="800"/>
      <c r="B191" s="40"/>
      <c r="C191" s="40"/>
      <c r="D191" s="40"/>
      <c r="E191" s="40"/>
      <c r="F191" s="40"/>
      <c r="G191" s="40"/>
      <c r="H191" s="40"/>
    </row>
    <row r="192" spans="1:8" x14ac:dyDescent="0.25">
      <c r="A192" s="800"/>
      <c r="B192" s="40"/>
      <c r="C192" s="40"/>
      <c r="D192" s="40"/>
      <c r="E192" s="40"/>
      <c r="F192" s="40"/>
      <c r="G192" s="40"/>
      <c r="H192" s="40"/>
    </row>
    <row r="193" spans="1:8" x14ac:dyDescent="0.25">
      <c r="A193" s="800"/>
      <c r="B193" s="40"/>
      <c r="C193" s="40"/>
      <c r="D193" s="40"/>
      <c r="E193" s="40"/>
      <c r="F193" s="40"/>
      <c r="G193" s="40"/>
      <c r="H193" s="40"/>
    </row>
    <row r="194" spans="1:8" x14ac:dyDescent="0.25">
      <c r="A194" s="800"/>
      <c r="B194" s="40"/>
      <c r="C194" s="40"/>
      <c r="D194" s="40"/>
      <c r="E194" s="40"/>
      <c r="F194" s="40"/>
      <c r="G194" s="40"/>
      <c r="H194" s="40"/>
    </row>
    <row r="195" spans="1:8" x14ac:dyDescent="0.25">
      <c r="A195" s="800"/>
      <c r="B195" s="40"/>
      <c r="C195" s="40"/>
    </row>
    <row r="196" spans="1:8" x14ac:dyDescent="0.25">
      <c r="A196" s="800"/>
      <c r="B196" s="40"/>
      <c r="C196" s="40"/>
    </row>
    <row r="197" spans="1:8" x14ac:dyDescent="0.25">
      <c r="A197" s="800"/>
      <c r="B197" s="40"/>
      <c r="C197" s="40"/>
    </row>
    <row r="198" spans="1:8" ht="15.75" thickBot="1" x14ac:dyDescent="0.3">
      <c r="A198" s="800"/>
      <c r="B198" s="40"/>
      <c r="C198" s="40"/>
    </row>
    <row r="199" spans="1:8" ht="19.5" thickBot="1" x14ac:dyDescent="0.35">
      <c r="A199" s="800"/>
      <c r="B199" s="805" t="s">
        <v>146</v>
      </c>
      <c r="C199" s="805"/>
      <c r="D199" s="805"/>
      <c r="E199" s="805"/>
      <c r="F199" s="805"/>
      <c r="G199" s="805"/>
      <c r="H199" s="805"/>
    </row>
    <row r="200" spans="1:8" ht="16.5" thickBot="1" x14ac:dyDescent="0.3">
      <c r="A200" s="800"/>
      <c r="B200" s="35"/>
      <c r="C200" s="788" t="s">
        <v>56</v>
      </c>
      <c r="D200" s="788"/>
      <c r="E200" s="788" t="s">
        <v>57</v>
      </c>
      <c r="F200" s="788"/>
      <c r="G200" s="788" t="s">
        <v>58</v>
      </c>
      <c r="H200" s="788"/>
    </row>
    <row r="201" spans="1:8" ht="32.25" thickBot="1" x14ac:dyDescent="0.3">
      <c r="A201" s="800"/>
      <c r="B201" s="323" t="s">
        <v>138</v>
      </c>
      <c r="C201" s="35" t="s">
        <v>132</v>
      </c>
      <c r="D201" s="35" t="s">
        <v>61</v>
      </c>
      <c r="E201" s="35" t="s">
        <v>133</v>
      </c>
      <c r="F201" s="35" t="s">
        <v>63</v>
      </c>
      <c r="G201" s="35" t="s">
        <v>134</v>
      </c>
      <c r="H201" s="35" t="s">
        <v>65</v>
      </c>
    </row>
    <row r="202" spans="1:8" ht="15.75" x14ac:dyDescent="0.25">
      <c r="A202" s="800"/>
      <c r="B202" s="328" t="s">
        <v>139</v>
      </c>
      <c r="C202" s="471">
        <f>C162+C182</f>
        <v>0</v>
      </c>
      <c r="D202" s="471">
        <f t="shared" ref="D202:H202" si="38">D162+D182</f>
        <v>0</v>
      </c>
      <c r="E202" s="471">
        <f t="shared" si="38"/>
        <v>0</v>
      </c>
      <c r="F202" s="471">
        <f t="shared" si="38"/>
        <v>0</v>
      </c>
      <c r="G202" s="471">
        <f t="shared" si="38"/>
        <v>0</v>
      </c>
      <c r="H202" s="471">
        <f t="shared" si="38"/>
        <v>0</v>
      </c>
    </row>
    <row r="203" spans="1:8" ht="15.75" x14ac:dyDescent="0.25">
      <c r="A203" s="800"/>
      <c r="B203" s="329" t="s">
        <v>140</v>
      </c>
      <c r="C203" s="471">
        <f>C163+C183</f>
        <v>0</v>
      </c>
      <c r="D203" s="471">
        <f t="shared" ref="D203:H203" si="39">D163+D183</f>
        <v>0</v>
      </c>
      <c r="E203" s="471">
        <f t="shared" si="39"/>
        <v>0</v>
      </c>
      <c r="F203" s="471">
        <f t="shared" si="39"/>
        <v>0</v>
      </c>
      <c r="G203" s="471">
        <f t="shared" si="39"/>
        <v>0</v>
      </c>
      <c r="H203" s="471">
        <f t="shared" si="39"/>
        <v>0</v>
      </c>
    </row>
    <row r="204" spans="1:8" ht="15.75" x14ac:dyDescent="0.25">
      <c r="A204" s="800"/>
      <c r="B204" s="329" t="s">
        <v>141</v>
      </c>
      <c r="C204" s="471">
        <f t="shared" ref="C204:H204" si="40">C164+C184</f>
        <v>0</v>
      </c>
      <c r="D204" s="471">
        <f t="shared" si="40"/>
        <v>0</v>
      </c>
      <c r="E204" s="471">
        <f t="shared" si="40"/>
        <v>0</v>
      </c>
      <c r="F204" s="471">
        <f t="shared" si="40"/>
        <v>0</v>
      </c>
      <c r="G204" s="471">
        <f t="shared" si="40"/>
        <v>0</v>
      </c>
      <c r="H204" s="471">
        <f t="shared" si="40"/>
        <v>0</v>
      </c>
    </row>
    <row r="205" spans="1:8" ht="15.75" x14ac:dyDescent="0.25">
      <c r="A205" s="800"/>
      <c r="B205" s="329" t="s">
        <v>142</v>
      </c>
      <c r="C205" s="471">
        <f t="shared" ref="C205:H205" si="41">C165+C185</f>
        <v>0</v>
      </c>
      <c r="D205" s="471">
        <f t="shared" si="41"/>
        <v>0</v>
      </c>
      <c r="E205" s="471">
        <f t="shared" si="41"/>
        <v>0</v>
      </c>
      <c r="F205" s="471">
        <f t="shared" si="41"/>
        <v>0</v>
      </c>
      <c r="G205" s="471">
        <f t="shared" si="41"/>
        <v>0</v>
      </c>
      <c r="H205" s="471">
        <f t="shared" si="41"/>
        <v>0</v>
      </c>
    </row>
    <row r="206" spans="1:8" ht="15.75" x14ac:dyDescent="0.25">
      <c r="A206" s="800"/>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25">
      <c r="A207" s="800"/>
      <c r="B207" s="40"/>
      <c r="C207" s="40"/>
      <c r="D207" s="40"/>
      <c r="E207" s="40"/>
      <c r="F207" s="40"/>
      <c r="G207" s="40"/>
      <c r="H207" s="40"/>
    </row>
    <row r="208" spans="1:8" x14ac:dyDescent="0.25">
      <c r="A208" s="800"/>
      <c r="B208" s="40"/>
      <c r="C208" s="40"/>
      <c r="D208" s="40"/>
      <c r="E208" s="40"/>
      <c r="F208" s="40"/>
      <c r="G208" s="40"/>
      <c r="H208" s="40"/>
    </row>
    <row r="209" spans="1:8" x14ac:dyDescent="0.25">
      <c r="A209" s="800"/>
      <c r="B209" s="40"/>
      <c r="C209" s="40"/>
      <c r="D209" s="40"/>
      <c r="E209" s="40"/>
      <c r="F209" s="40"/>
      <c r="G209" s="40"/>
      <c r="H209" s="40"/>
    </row>
    <row r="210" spans="1:8" x14ac:dyDescent="0.25">
      <c r="A210" s="800"/>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defaultColWidth="0" defaultRowHeight="15" zeroHeight="1" x14ac:dyDescent="0.25"/>
  <cols>
    <col min="1" max="1" width="17" style="31" customWidth="1"/>
    <col min="2" max="2" width="104.85546875" style="31" bestFit="1" customWidth="1"/>
    <col min="3" max="3" width="24.42578125" style="31" bestFit="1" customWidth="1"/>
    <col min="4" max="4" width="10.5703125" style="31" bestFit="1" customWidth="1"/>
    <col min="5" max="5" width="10.28515625" style="31" bestFit="1" customWidth="1"/>
    <col min="6" max="6" width="18.140625" style="31" customWidth="1"/>
    <col min="7" max="7" width="31" style="31" customWidth="1"/>
    <col min="8" max="8" width="5" style="31" customWidth="1"/>
    <col min="9" max="9" width="49.42578125" style="31" customWidth="1"/>
    <col min="10" max="10" width="10.85546875" style="31" customWidth="1"/>
    <col min="11" max="11" width="2" style="31" customWidth="1"/>
    <col min="12" max="12" width="2.5703125" style="31" customWidth="1"/>
    <col min="13" max="13" width="4.140625" style="31" customWidth="1"/>
    <col min="14" max="16" width="9.140625" style="31" customWidth="1"/>
    <col min="17" max="17" width="10.5703125" style="31" customWidth="1"/>
    <col min="18" max="20" width="9.140625" style="31" customWidth="1"/>
    <col min="21" max="22" width="0" style="31" hidden="1" customWidth="1"/>
    <col min="23" max="16384" width="9.140625" style="31" hidden="1"/>
  </cols>
  <sheetData>
    <row r="1" spans="1:17" ht="15.75" thickBot="1" x14ac:dyDescent="0.3">
      <c r="A1" s="452"/>
      <c r="B1" s="40"/>
      <c r="C1" s="40"/>
      <c r="D1" s="40"/>
      <c r="E1" s="40"/>
      <c r="G1" s="40"/>
      <c r="H1" s="40"/>
      <c r="I1" s="40"/>
      <c r="J1" s="40"/>
      <c r="K1" s="40"/>
      <c r="L1" s="40"/>
      <c r="M1" s="40"/>
      <c r="N1" s="40"/>
      <c r="O1" s="40"/>
      <c r="P1" s="40"/>
      <c r="Q1" s="40"/>
    </row>
    <row r="2" spans="1:17" ht="26.25" thickBot="1" x14ac:dyDescent="0.3">
      <c r="A2" s="40"/>
      <c r="B2" s="863" t="s">
        <v>147</v>
      </c>
      <c r="C2" s="864"/>
      <c r="D2" s="864"/>
      <c r="E2" s="864"/>
      <c r="F2" s="864"/>
      <c r="G2" s="876"/>
      <c r="H2" s="40"/>
      <c r="I2" s="40"/>
      <c r="J2" s="40"/>
      <c r="K2" s="40"/>
      <c r="L2" s="40"/>
      <c r="M2" s="40"/>
      <c r="N2" s="40"/>
      <c r="O2" s="40"/>
      <c r="P2" s="40"/>
      <c r="Q2" s="40"/>
    </row>
    <row r="3" spans="1:17" ht="15" customHeight="1" x14ac:dyDescent="0.25">
      <c r="A3" s="40"/>
      <c r="B3" s="879" t="s">
        <v>148</v>
      </c>
      <c r="C3" s="881" t="s">
        <v>149</v>
      </c>
      <c r="D3" s="881"/>
      <c r="E3" s="881"/>
      <c r="F3" s="881"/>
      <c r="G3" s="877" t="s">
        <v>150</v>
      </c>
      <c r="H3" s="271"/>
      <c r="I3" s="271"/>
      <c r="J3" s="271"/>
      <c r="K3" s="271"/>
      <c r="L3" s="40"/>
      <c r="M3" s="40"/>
      <c r="N3" s="40"/>
      <c r="O3" s="40"/>
      <c r="P3" s="40"/>
      <c r="Q3" s="40"/>
    </row>
    <row r="4" spans="1:17" ht="14.25" customHeight="1" x14ac:dyDescent="0.25">
      <c r="A4" s="40"/>
      <c r="B4" s="880"/>
      <c r="C4" s="882"/>
      <c r="D4" s="882"/>
      <c r="E4" s="882"/>
      <c r="F4" s="882"/>
      <c r="G4" s="878"/>
      <c r="H4" s="271"/>
      <c r="I4" s="271"/>
      <c r="J4" s="271"/>
      <c r="K4" s="271"/>
      <c r="L4" s="40"/>
      <c r="M4" s="40"/>
      <c r="N4" s="40"/>
      <c r="O4" s="40"/>
      <c r="P4" s="40"/>
      <c r="Q4" s="40"/>
    </row>
    <row r="5" spans="1:17" ht="20.25" x14ac:dyDescent="0.25">
      <c r="A5" s="40"/>
      <c r="B5" s="129" t="s">
        <v>151</v>
      </c>
      <c r="C5" s="883" t="s">
        <v>152</v>
      </c>
      <c r="D5" s="883"/>
      <c r="E5" s="883"/>
      <c r="F5" s="883"/>
      <c r="G5" s="262" t="str">
        <f>IF(('A-1 Site Habitat Baseline'!AQ259+'D-1 Off Site Habitat Baseline'!AQ259)&gt;0,"No ▲","Yes ✓")</f>
        <v>Yes ✓</v>
      </c>
      <c r="H5" s="271"/>
      <c r="I5" s="271"/>
      <c r="J5" s="271"/>
      <c r="K5" s="271"/>
      <c r="L5" s="40"/>
      <c r="M5" s="40"/>
      <c r="N5" s="40"/>
      <c r="O5" s="40"/>
      <c r="P5" s="40"/>
      <c r="Q5" s="40"/>
    </row>
    <row r="6" spans="1:17" ht="22.5" customHeight="1" x14ac:dyDescent="0.25">
      <c r="A6" s="40"/>
      <c r="B6" s="129" t="s">
        <v>153</v>
      </c>
      <c r="C6" s="884" t="s">
        <v>154</v>
      </c>
      <c r="D6" s="884"/>
      <c r="E6" s="884"/>
      <c r="F6" s="884"/>
      <c r="G6" s="262" t="str">
        <f>IFERROR(IF(J41&lt;0,"No ▲","Yes ✓"),"")</f>
        <v>Yes ✓</v>
      </c>
      <c r="H6" s="40"/>
      <c r="I6" s="40"/>
      <c r="J6" s="40"/>
      <c r="K6" s="40"/>
      <c r="L6" s="40"/>
      <c r="M6" s="40"/>
      <c r="N6" s="40"/>
      <c r="O6" s="40"/>
      <c r="P6" s="40"/>
      <c r="Q6" s="40"/>
    </row>
    <row r="7" spans="1:17" ht="19.5" customHeight="1" x14ac:dyDescent="0.25">
      <c r="A7" s="40"/>
      <c r="B7" s="129" t="s">
        <v>23</v>
      </c>
      <c r="C7" s="885" t="s">
        <v>155</v>
      </c>
      <c r="D7" s="885"/>
      <c r="E7" s="885"/>
      <c r="F7" s="885"/>
      <c r="G7" s="148" t="str">
        <f>IF(J40+J12+J89&lt;0,"No ▲","Yes ✓")</f>
        <v>Yes ✓</v>
      </c>
      <c r="H7" s="40"/>
      <c r="I7" s="40"/>
      <c r="J7" s="40"/>
      <c r="K7" s="40"/>
      <c r="L7" s="40"/>
      <c r="M7" s="40"/>
      <c r="N7" s="40"/>
      <c r="O7" s="40"/>
      <c r="P7" s="40"/>
      <c r="Q7" s="40"/>
    </row>
    <row r="8" spans="1:17" ht="18.75" customHeight="1" thickBot="1" x14ac:dyDescent="0.3">
      <c r="A8" s="40"/>
      <c r="B8" s="97" t="s">
        <v>156</v>
      </c>
      <c r="C8" s="886" t="s">
        <v>157</v>
      </c>
      <c r="D8" s="886"/>
      <c r="E8" s="886"/>
      <c r="F8" s="886"/>
      <c r="G8" s="162" t="str">
        <f>IF(J124&lt;0,"No ▲","Yes ✓")</f>
        <v>Yes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5.75" thickBot="1" x14ac:dyDescent="0.3">
      <c r="A10" s="40"/>
      <c r="B10" s="40"/>
      <c r="C10" s="40"/>
      <c r="D10" s="40"/>
      <c r="E10" s="40"/>
      <c r="F10" s="40"/>
      <c r="G10" s="40"/>
      <c r="H10" s="40"/>
      <c r="I10" s="40"/>
      <c r="J10" s="40"/>
      <c r="K10" s="40"/>
      <c r="L10" s="40"/>
      <c r="M10" s="40"/>
      <c r="N10" s="40"/>
      <c r="O10" s="40"/>
      <c r="P10" s="40"/>
      <c r="Q10" s="40"/>
    </row>
    <row r="11" spans="1:17" ht="26.25" thickBot="1" x14ac:dyDescent="0.3">
      <c r="A11" s="40"/>
      <c r="B11" s="863" t="s">
        <v>158</v>
      </c>
      <c r="C11" s="864"/>
      <c r="D11" s="864"/>
      <c r="E11" s="864"/>
      <c r="F11" s="864"/>
      <c r="G11" s="876"/>
      <c r="H11" s="40"/>
      <c r="I11" s="867" t="s">
        <v>159</v>
      </c>
      <c r="J11" s="868"/>
      <c r="K11" s="40"/>
      <c r="L11" s="40"/>
      <c r="M11" s="40"/>
      <c r="N11" s="40"/>
      <c r="O11" s="40"/>
      <c r="P11" s="40"/>
      <c r="Q11" s="40"/>
    </row>
    <row r="12" spans="1:17" s="42" customFormat="1" ht="48" thickBot="1" x14ac:dyDescent="0.3">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25">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75" t="str">
        <f>IF($G$33&lt;0,"Very high distinctiveness unit defecit - CHECK DATA","")</f>
        <v/>
      </c>
      <c r="J13" s="875"/>
      <c r="K13" s="40"/>
      <c r="L13" s="40"/>
      <c r="M13" s="40"/>
      <c r="N13" s="40"/>
      <c r="O13" s="40"/>
      <c r="P13" s="40"/>
      <c r="Q13" s="40"/>
    </row>
    <row r="14" spans="1:17" x14ac:dyDescent="0.25">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25">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25">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25">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25">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25">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25">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25">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25">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25">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25">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25">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25">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25">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25">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25">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00000000000001" customHeight="1" x14ac:dyDescent="0.25">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25">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5.75" thickBot="1" x14ac:dyDescent="0.3">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5.75" thickBot="1" x14ac:dyDescent="0.3">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5.75" thickBot="1" x14ac:dyDescent="0.3">
      <c r="A38" s="40"/>
      <c r="B38" s="40"/>
      <c r="C38" s="40"/>
      <c r="D38" s="40"/>
      <c r="E38" s="40"/>
      <c r="F38" s="40"/>
      <c r="G38" s="40"/>
      <c r="H38" s="40"/>
      <c r="I38" s="40"/>
      <c r="J38" s="40"/>
      <c r="K38" s="40"/>
      <c r="L38" s="40"/>
      <c r="M38" s="40"/>
      <c r="N38" s="40"/>
      <c r="O38" s="40"/>
      <c r="P38" s="40"/>
      <c r="Q38" s="40"/>
    </row>
    <row r="39" spans="1:17" ht="26.25" thickBot="1" x14ac:dyDescent="0.3">
      <c r="A39" s="40"/>
      <c r="B39" s="863" t="s">
        <v>166</v>
      </c>
      <c r="C39" s="864"/>
      <c r="D39" s="864"/>
      <c r="E39" s="864"/>
      <c r="F39" s="864"/>
      <c r="G39" s="876"/>
      <c r="H39" s="40"/>
      <c r="I39" s="867" t="s">
        <v>167</v>
      </c>
      <c r="J39" s="868"/>
      <c r="K39" s="40"/>
      <c r="L39" s="40"/>
      <c r="M39" s="40"/>
    </row>
    <row r="40" spans="1:17" ht="47.25" x14ac:dyDescent="0.25">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5.75" thickBot="1" x14ac:dyDescent="0.3">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25">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25">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25">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25">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25">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25">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25">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25">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25">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2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2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2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2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25">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25">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2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2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2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2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2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2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2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2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2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2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2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2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45" customHeight="1" x14ac:dyDescent="0.25">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2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2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2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2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2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2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2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2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2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2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2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5.75" thickBot="1" x14ac:dyDescent="0.3">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5.75" thickBot="1" x14ac:dyDescent="0.3">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5.75" thickBot="1" x14ac:dyDescent="0.3">
      <c r="A86" s="40"/>
      <c r="B86" s="40"/>
      <c r="C86" s="40"/>
      <c r="D86" s="40"/>
      <c r="E86" s="40"/>
      <c r="F86" s="40"/>
      <c r="G86" s="40"/>
      <c r="H86" s="40"/>
      <c r="I86" s="40"/>
      <c r="J86" s="40"/>
      <c r="K86" s="40"/>
      <c r="L86" s="40"/>
      <c r="M86" s="40"/>
      <c r="N86" s="40"/>
      <c r="O86" s="40"/>
      <c r="P86" s="40"/>
      <c r="Q86" s="40"/>
    </row>
    <row r="87" spans="1:17" ht="27.75" thickBot="1" x14ac:dyDescent="0.35">
      <c r="A87" s="40"/>
      <c r="B87" s="872" t="s">
        <v>171</v>
      </c>
      <c r="C87" s="873"/>
      <c r="D87" s="873"/>
      <c r="E87" s="873"/>
      <c r="F87" s="873"/>
      <c r="G87" s="874"/>
      <c r="H87" s="40"/>
      <c r="I87" s="865" t="s">
        <v>172</v>
      </c>
      <c r="J87" s="866"/>
      <c r="K87" s="40"/>
      <c r="L87" s="40"/>
      <c r="M87" s="40"/>
      <c r="N87" s="40"/>
      <c r="O87" s="40"/>
    </row>
    <row r="88" spans="1:17" ht="48" thickBot="1" x14ac:dyDescent="0.3">
      <c r="A88" s="40"/>
      <c r="B88" s="350" t="s">
        <v>173</v>
      </c>
      <c r="C88" s="351" t="s">
        <v>160</v>
      </c>
      <c r="D88" s="351" t="s">
        <v>174</v>
      </c>
      <c r="E88" s="351" t="s">
        <v>175</v>
      </c>
      <c r="F88" s="351" t="s">
        <v>176</v>
      </c>
      <c r="G88" s="352" t="s">
        <v>177</v>
      </c>
      <c r="H88" s="40"/>
      <c r="I88" s="96" t="s">
        <v>178</v>
      </c>
      <c r="J88" s="487">
        <f>SUMIF(G89:G113,"&gt;0")</f>
        <v>0.21315605068799925</v>
      </c>
      <c r="K88" s="40"/>
      <c r="L88" s="40"/>
    </row>
    <row r="89" spans="1:17" ht="30" x14ac:dyDescent="0.25">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69">
        <f>SUM(F89:F92)</f>
        <v>0</v>
      </c>
      <c r="H89" s="40"/>
      <c r="I89" s="129" t="s">
        <v>179</v>
      </c>
      <c r="J89" s="488">
        <f>SUMIF(G89:G113,"&lt;0")</f>
        <v>0</v>
      </c>
      <c r="K89" s="40"/>
      <c r="L89" s="40"/>
    </row>
    <row r="90" spans="1:17" ht="30" x14ac:dyDescent="0.25">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70"/>
      <c r="H90" s="40"/>
      <c r="I90" s="129" t="s">
        <v>180</v>
      </c>
      <c r="J90" s="488">
        <f>IF(J40+J12+J89&gt;0,J40+J12+J89,0)</f>
        <v>0</v>
      </c>
    </row>
    <row r="91" spans="1:17" ht="15.75" thickBot="1" x14ac:dyDescent="0.3">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70"/>
      <c r="H91" s="40"/>
      <c r="I91" s="97" t="s">
        <v>181</v>
      </c>
      <c r="J91" s="486">
        <f>J90+J88</f>
        <v>0.21315605068799925</v>
      </c>
      <c r="K91" s="40"/>
      <c r="L91" s="40"/>
    </row>
    <row r="92" spans="1:17" ht="15.75" thickBot="1" x14ac:dyDescent="0.3">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70"/>
      <c r="H92" s="40"/>
      <c r="I92" s="40"/>
      <c r="J92" s="40"/>
      <c r="K92" s="40"/>
      <c r="L92" s="40"/>
    </row>
    <row r="93" spans="1:17" x14ac:dyDescent="0.25">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69">
        <f>SUM(F93:F95)</f>
        <v>0</v>
      </c>
      <c r="H93" s="40"/>
      <c r="I93" s="40"/>
      <c r="J93" s="40"/>
      <c r="K93" s="40"/>
      <c r="L93" s="40"/>
    </row>
    <row r="94" spans="1:17" x14ac:dyDescent="0.25">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70"/>
      <c r="H94" s="40"/>
      <c r="I94" s="40"/>
      <c r="J94" s="40"/>
      <c r="K94" s="40"/>
      <c r="L94" s="40"/>
    </row>
    <row r="95" spans="1:17" ht="15.75" thickBot="1" x14ac:dyDescent="0.3">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71"/>
      <c r="H95" s="40"/>
      <c r="I95" s="40"/>
      <c r="J95" s="40"/>
      <c r="K95" s="40"/>
      <c r="L95" s="40"/>
      <c r="M95" s="40"/>
    </row>
    <row r="96" spans="1:17" x14ac:dyDescent="0.25">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69">
        <f>SUM(F96:F101)</f>
        <v>0</v>
      </c>
      <c r="H96" s="40"/>
      <c r="I96" s="40"/>
      <c r="J96" s="40"/>
      <c r="K96" s="40"/>
      <c r="L96" s="40"/>
      <c r="M96" s="40"/>
    </row>
    <row r="97" spans="1:15" x14ac:dyDescent="0.25">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70"/>
      <c r="H97" s="40"/>
      <c r="I97" s="40"/>
      <c r="J97" s="40"/>
      <c r="K97" s="40"/>
      <c r="L97" s="40"/>
      <c r="M97" s="40"/>
    </row>
    <row r="98" spans="1:15" x14ac:dyDescent="0.2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70"/>
      <c r="H98" s="40"/>
      <c r="I98" s="40"/>
      <c r="J98" s="40"/>
      <c r="K98" s="40"/>
      <c r="L98" s="40"/>
      <c r="M98" s="40"/>
    </row>
    <row r="99" spans="1:15" x14ac:dyDescent="0.2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70"/>
      <c r="H99" s="40"/>
      <c r="I99" s="40"/>
      <c r="J99" s="40"/>
      <c r="K99" s="40"/>
      <c r="L99" s="40"/>
      <c r="M99" s="40"/>
    </row>
    <row r="100" spans="1:15" x14ac:dyDescent="0.2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70"/>
      <c r="H100" s="40"/>
      <c r="I100" s="40"/>
      <c r="J100" s="40"/>
      <c r="K100" s="40"/>
      <c r="L100" s="40"/>
      <c r="M100" s="40"/>
      <c r="N100" s="40"/>
      <c r="O100" s="40"/>
    </row>
    <row r="101" spans="1:15" ht="15.75" thickBot="1" x14ac:dyDescent="0.3">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71"/>
      <c r="H101" s="40"/>
      <c r="I101" s="40"/>
      <c r="J101" s="40"/>
      <c r="K101" s="40"/>
      <c r="L101" s="40"/>
      <c r="M101" s="40"/>
      <c r="N101" s="40"/>
      <c r="O101" s="40"/>
    </row>
    <row r="102" spans="1:15" x14ac:dyDescent="0.2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69">
        <f>SUM(F102:F103)</f>
        <v>0</v>
      </c>
      <c r="H102" s="40"/>
      <c r="K102" s="40"/>
      <c r="L102" s="40"/>
      <c r="M102" s="40"/>
      <c r="N102" s="40"/>
      <c r="O102" s="40"/>
    </row>
    <row r="103" spans="1:15" ht="15.75" thickBot="1" x14ac:dyDescent="0.3">
      <c r="A103" s="40"/>
      <c r="B103" s="348" t="str">
        <f>'G-2 Habitat groups'!AU91</f>
        <v>Lakes - Reservoirs</v>
      </c>
      <c r="C103" s="349" t="str">
        <f>'G-2 Habitat groups'!AV91</f>
        <v>Lakes</v>
      </c>
      <c r="D103" s="490">
        <f>'G-2 Habitat groups'!BB91</f>
        <v>0</v>
      </c>
      <c r="E103" s="490">
        <f>'G-2 Habitat groups'!BD91</f>
        <v>0</v>
      </c>
      <c r="F103" s="490">
        <f>'G-2 Habitat groups'!BE91</f>
        <v>0</v>
      </c>
      <c r="G103" s="871"/>
      <c r="H103" s="40"/>
      <c r="K103" s="40"/>
      <c r="L103" s="40"/>
      <c r="M103" s="40"/>
      <c r="N103" s="40"/>
      <c r="O103" s="40"/>
    </row>
    <row r="104" spans="1:15" ht="15.75" thickBot="1" x14ac:dyDescent="0.3">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2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69">
        <f>SUM(F105:F107)</f>
        <v>0.21315605068799925</v>
      </c>
      <c r="H105" s="40"/>
      <c r="I105" s="40"/>
      <c r="J105" s="40"/>
      <c r="K105" s="40"/>
      <c r="L105" s="40"/>
      <c r="M105" s="40"/>
      <c r="N105" s="40"/>
      <c r="O105" s="40"/>
    </row>
    <row r="106" spans="1:15" ht="15" customHeight="1" x14ac:dyDescent="0.25">
      <c r="A106" s="40"/>
      <c r="B106" s="660" t="str">
        <f>'G-2 Habitat groups'!AU94</f>
        <v>Urban - Biodiverse green roof</v>
      </c>
      <c r="C106" s="661" t="str">
        <f>'G-2 Habitat groups'!AV94</f>
        <v>Urban</v>
      </c>
      <c r="D106" s="495">
        <f>'G-2 Habitat groups'!BB94</f>
        <v>0</v>
      </c>
      <c r="E106" s="495">
        <f>'G-2 Habitat groups'!BD94</f>
        <v>0</v>
      </c>
      <c r="F106" s="495">
        <f>'G-2 Habitat groups'!BE94</f>
        <v>0</v>
      </c>
      <c r="G106" s="870"/>
      <c r="H106" s="40"/>
      <c r="I106" s="40"/>
      <c r="J106" s="40"/>
      <c r="K106" s="40"/>
      <c r="L106" s="40"/>
      <c r="M106" s="40"/>
      <c r="N106" s="40"/>
      <c r="O106" s="40"/>
    </row>
    <row r="107" spans="1:15" ht="15.75" customHeight="1" thickBot="1" x14ac:dyDescent="0.3">
      <c r="A107" s="40"/>
      <c r="B107" s="662" t="str">
        <f>'G-2 Habitat groups'!AU130</f>
        <v>Urban - Urban Tree</v>
      </c>
      <c r="C107" s="124" t="str">
        <f>'G-2 Habitat groups'!AV130</f>
        <v>Urban</v>
      </c>
      <c r="D107" s="663">
        <f>'G-2 Habitat groups'!BB130</f>
        <v>0.21315605068799925</v>
      </c>
      <c r="E107" s="663">
        <f>'G-2 Habitat groups'!BD130</f>
        <v>0</v>
      </c>
      <c r="F107" s="480">
        <f>'G-2 Habitat groups'!BE130</f>
        <v>0.21315605068799925</v>
      </c>
      <c r="G107" s="871"/>
      <c r="H107" s="40"/>
      <c r="I107" s="40"/>
      <c r="J107" s="40"/>
      <c r="K107" s="40"/>
      <c r="L107" s="40"/>
      <c r="M107" s="40"/>
      <c r="N107" s="40"/>
      <c r="O107" s="40"/>
    </row>
    <row r="108" spans="1:15" x14ac:dyDescent="0.2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69">
        <f>SUM(F108:F110)</f>
        <v>0</v>
      </c>
      <c r="H108" s="40"/>
      <c r="I108" s="40"/>
      <c r="J108" s="40"/>
      <c r="K108" s="40"/>
      <c r="L108" s="40"/>
      <c r="M108" s="40"/>
      <c r="N108" s="40"/>
      <c r="O108" s="40"/>
    </row>
    <row r="109" spans="1:15" x14ac:dyDescent="0.2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70"/>
      <c r="H109" s="40"/>
      <c r="I109" s="40"/>
      <c r="J109" s="40"/>
      <c r="K109" s="40"/>
      <c r="L109" s="40"/>
      <c r="M109" s="40"/>
      <c r="N109" s="40"/>
      <c r="O109" s="40"/>
    </row>
    <row r="110" spans="1:15" ht="15.75" thickBot="1" x14ac:dyDescent="0.3">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71"/>
      <c r="H110" s="40"/>
      <c r="I110" s="40"/>
      <c r="J110" s="40"/>
      <c r="K110" s="40"/>
      <c r="L110" s="40"/>
      <c r="M110" s="40"/>
      <c r="N110" s="40"/>
      <c r="O110" s="40"/>
    </row>
    <row r="111" spans="1:15" x14ac:dyDescent="0.2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69">
        <f>SUM(F111:F113)</f>
        <v>0</v>
      </c>
      <c r="H111" s="40"/>
      <c r="I111" s="40"/>
      <c r="J111" s="40"/>
      <c r="K111" s="40"/>
      <c r="L111" s="40"/>
      <c r="M111" s="40"/>
      <c r="N111" s="40"/>
      <c r="O111" s="40"/>
    </row>
    <row r="112" spans="1:15" x14ac:dyDescent="0.2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70"/>
      <c r="H112" s="40"/>
      <c r="I112" s="40"/>
      <c r="J112" s="40"/>
      <c r="K112" s="40"/>
      <c r="L112" s="40"/>
      <c r="M112" s="40"/>
      <c r="N112" s="40"/>
      <c r="O112" s="40"/>
    </row>
    <row r="113" spans="1:17" ht="21" customHeight="1" thickBot="1" x14ac:dyDescent="0.3">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71"/>
      <c r="H113" s="40"/>
      <c r="I113" s="40"/>
      <c r="J113" s="40"/>
      <c r="K113" s="40"/>
      <c r="L113" s="40"/>
      <c r="M113" s="40"/>
      <c r="N113" s="40"/>
      <c r="O113" s="40"/>
    </row>
    <row r="114" spans="1:17" ht="14.45" customHeight="1" thickBot="1" x14ac:dyDescent="0.3">
      <c r="A114" s="40"/>
      <c r="B114" s="40"/>
      <c r="C114" s="40"/>
      <c r="D114" s="476">
        <f>SUM(D89:D113)</f>
        <v>0.21315605068799925</v>
      </c>
      <c r="E114" s="477">
        <f>SUM(E89:E113)</f>
        <v>0</v>
      </c>
      <c r="F114" s="478">
        <f>SUM(F89:F113)</f>
        <v>0.21315605068799925</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5.75" thickBot="1" x14ac:dyDescent="0.3">
      <c r="A120" s="40"/>
      <c r="B120" s="40"/>
      <c r="C120" s="40"/>
      <c r="D120" s="40"/>
      <c r="E120" s="40"/>
      <c r="F120" s="40"/>
      <c r="G120" s="40"/>
      <c r="H120" s="40"/>
      <c r="I120" s="40"/>
      <c r="J120" s="40"/>
      <c r="K120" s="40"/>
      <c r="L120" s="40"/>
      <c r="M120" s="40"/>
      <c r="N120" s="40"/>
      <c r="O120" s="40"/>
      <c r="P120" s="40"/>
      <c r="Q120" s="40"/>
    </row>
    <row r="121" spans="1:17" ht="26.25" thickBot="1" x14ac:dyDescent="0.3">
      <c r="A121" s="40"/>
      <c r="B121" s="863" t="s">
        <v>182</v>
      </c>
      <c r="C121" s="864"/>
      <c r="D121" s="864"/>
      <c r="E121" s="864"/>
      <c r="F121" s="864"/>
      <c r="G121" s="40"/>
      <c r="H121" s="40"/>
      <c r="I121" s="40"/>
      <c r="J121" s="40"/>
      <c r="K121" s="40"/>
      <c r="L121" s="40"/>
      <c r="M121" s="40"/>
      <c r="N121" s="40"/>
      <c r="O121" s="40"/>
    </row>
    <row r="122" spans="1:17" ht="48" thickBot="1" x14ac:dyDescent="0.35">
      <c r="A122" s="40"/>
      <c r="B122" s="93" t="s">
        <v>59</v>
      </c>
      <c r="C122" s="94" t="s">
        <v>160</v>
      </c>
      <c r="D122" s="94" t="s">
        <v>183</v>
      </c>
      <c r="E122" s="94" t="s">
        <v>162</v>
      </c>
      <c r="F122" s="94" t="s">
        <v>176</v>
      </c>
      <c r="G122" s="40"/>
      <c r="H122" s="40"/>
      <c r="I122" s="865" t="s">
        <v>184</v>
      </c>
      <c r="J122" s="866"/>
      <c r="K122" s="40"/>
      <c r="L122" s="40"/>
      <c r="M122" s="40"/>
      <c r="N122" s="40"/>
    </row>
    <row r="123" spans="1:17" x14ac:dyDescent="0.25">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-0.16000000000000014</v>
      </c>
      <c r="K123" s="40"/>
      <c r="L123" s="40"/>
      <c r="M123" s="40"/>
      <c r="N123" s="40"/>
    </row>
    <row r="124" spans="1:17" ht="15.75" thickBot="1" x14ac:dyDescent="0.3">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5.3156050687999112E-2</v>
      </c>
      <c r="K124" s="40"/>
      <c r="L124" s="40"/>
      <c r="M124" s="40"/>
      <c r="N124" s="40"/>
    </row>
    <row r="125" spans="1:17" x14ac:dyDescent="0.25">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3">
        <f>'G-2 Habitat groups'!BB116</f>
        <v>-0.16000000000000014</v>
      </c>
      <c r="E129" s="493">
        <f>'G-2 Habitat groups'!BD116</f>
        <v>0</v>
      </c>
      <c r="F129" s="480">
        <f>'G-2 Habitat groups'!BE116</f>
        <v>-0.16000000000000014</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3">
        <f>'G-2 Habitat groups'!BB127</f>
        <v>0</v>
      </c>
      <c r="E141" s="493">
        <f>'G-2 Habitat groups'!BD127</f>
        <v>0</v>
      </c>
      <c r="F141" s="480">
        <f>'G-2 Habitat groups'!BE127</f>
        <v>0</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5.75" thickBot="1" x14ac:dyDescent="0.3">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5.75" thickBot="1" x14ac:dyDescent="0.3">
      <c r="A159" s="40"/>
      <c r="B159" s="40"/>
      <c r="C159" s="40"/>
      <c r="D159" s="479">
        <f>SUM(D123:D158)</f>
        <v>-0.16000000000000014</v>
      </c>
      <c r="E159" s="40"/>
      <c r="F159" s="479">
        <f>SUM(F123:F158)</f>
        <v>-0.16000000000000014</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O1" zoomScaleNormal="100" workbookViewId="0">
      <pane ySplit="10" topLeftCell="A11" activePane="bottomLeft" state="frozen"/>
      <selection activeCell="S28" sqref="S28"/>
      <selection pane="bottomLeft" activeCell="AA11" sqref="AA11"/>
    </sheetView>
  </sheetViews>
  <sheetFormatPr defaultColWidth="0" defaultRowHeight="15" zeroHeight="1" x14ac:dyDescent="0.25"/>
  <cols>
    <col min="1" max="1" width="11.42578125" style="47" hidden="1" customWidth="1"/>
    <col min="2" max="2" width="9.140625" style="47" hidden="1" customWidth="1"/>
    <col min="3" max="3" width="0.42578125" style="47" customWidth="1"/>
    <col min="4" max="4" width="5.28515625" style="47" customWidth="1"/>
    <col min="5" max="5" width="24.28515625" style="47" customWidth="1"/>
    <col min="6" max="6" width="72.85546875" style="47" customWidth="1"/>
    <col min="7" max="7" width="30.28515625" style="47" hidden="1" customWidth="1"/>
    <col min="8" max="8" width="14.140625" style="47" customWidth="1"/>
    <col min="9" max="9" width="17.7109375" style="47" customWidth="1"/>
    <col min="10" max="10" width="7.42578125" style="47" customWidth="1"/>
    <col min="11" max="11" width="17.140625" style="47" customWidth="1"/>
    <col min="12" max="12" width="9.5703125" style="47" customWidth="1"/>
    <col min="13" max="13" width="41.7109375" style="47" customWidth="1"/>
    <col min="14" max="14" width="17.42578125" style="47" customWidth="1"/>
    <col min="15" max="15" width="17.140625" style="47" customWidth="1"/>
    <col min="16" max="16" width="30.7109375" style="47" customWidth="1"/>
    <col min="17" max="17" width="18" style="47" bestFit="1" customWidth="1"/>
    <col min="18" max="18" width="6" style="47" customWidth="1"/>
    <col min="19" max="19" width="10.140625" style="47" customWidth="1"/>
    <col min="20" max="20" width="11.42578125" style="47" customWidth="1"/>
    <col min="21" max="21" width="10.28515625" style="47" bestFit="1" customWidth="1"/>
    <col min="22" max="22" width="11.7109375" style="47" bestFit="1" customWidth="1"/>
    <col min="23" max="23" width="14.42578125" style="47" customWidth="1"/>
    <col min="24" max="24" width="17" style="47" customWidth="1"/>
    <col min="25" max="25" width="19" style="47" customWidth="1"/>
    <col min="26" max="27" width="50.140625" style="47" customWidth="1"/>
    <col min="28" max="28" width="12.7109375" style="47" customWidth="1"/>
    <col min="29" max="16384" width="12.7109375" style="47" hidden="1"/>
  </cols>
  <sheetData>
    <row r="1" spans="1:43" ht="15.75" thickBot="1" x14ac:dyDescent="0.3"/>
    <row r="2" spans="1:43" ht="19.5" thickBot="1" x14ac:dyDescent="0.3">
      <c r="D2" s="896" t="str">
        <f>IF(Start!$F$12="","",Start!$F$12)</f>
        <v/>
      </c>
      <c r="E2" s="897"/>
      <c r="F2" s="898"/>
    </row>
    <row r="3" spans="1:43" ht="15.6" customHeight="1" x14ac:dyDescent="0.25">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3">
      <c r="D4" s="893"/>
      <c r="E4" s="894"/>
      <c r="F4" s="895"/>
      <c r="AF4" s="47" t="s">
        <v>187</v>
      </c>
      <c r="AG4" s="47" t="s">
        <v>187</v>
      </c>
      <c r="AH4" s="47" t="s">
        <v>187</v>
      </c>
      <c r="AI4" s="47" t="s">
        <v>187</v>
      </c>
      <c r="AJ4" s="47" t="s">
        <v>187</v>
      </c>
      <c r="AK4" s="47" t="s">
        <v>187</v>
      </c>
      <c r="AL4" s="47" t="s">
        <v>187</v>
      </c>
      <c r="AM4" s="47" t="s">
        <v>187</v>
      </c>
      <c r="AN4" s="47" t="s">
        <v>187</v>
      </c>
    </row>
    <row r="5" spans="1:43" ht="15.6" customHeight="1" x14ac:dyDescent="0.25"/>
    <row r="6" spans="1:43" ht="16.149999999999999" customHeight="1" x14ac:dyDescent="0.25"/>
    <row r="7" spans="1:43" x14ac:dyDescent="0.25"/>
    <row r="8" spans="1:43" ht="31.15" customHeight="1" thickBot="1" x14ac:dyDescent="0.3">
      <c r="D8" s="48"/>
      <c r="E8" s="48"/>
      <c r="F8" s="48"/>
    </row>
    <row r="9" spans="1:43" ht="29.45" customHeight="1" thickBot="1" x14ac:dyDescent="0.3">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8.5" x14ac:dyDescent="0.2">
      <c r="A11" s="47" t="str">
        <f>IFERROR(INDEX('G-1 All Habitats'!$AG$3:$AG$15,MATCH(E11,'G-1 All Habitats'!$AF$3:$AF$15,0)),"")</f>
        <v>Urban</v>
      </c>
      <c r="B11" s="47" t="str">
        <f>IFERROR(INDEX('G-8 Condition Look up'!$I$4:$I$130,MATCH(G11,'G-8 Condition Look up'!$A$4:$A$130,0)),"")</f>
        <v>Cond2</v>
      </c>
      <c r="D11" s="67">
        <v>1</v>
      </c>
      <c r="E11" s="68" t="s">
        <v>74</v>
      </c>
      <c r="F11" s="68" t="s">
        <v>594</v>
      </c>
      <c r="G11" s="69" t="str">
        <f>IFERROR(INDEX('G-1 All Habitats'!$B$3:$B$129,MATCH(F11,'G-1 All Habitats'!$A$3:$A$129,0)),"")</f>
        <v>Urban - Built linear features</v>
      </c>
      <c r="H11" s="70">
        <v>0.31</v>
      </c>
      <c r="I11" s="497" t="str">
        <f>IF(G11="","",VLOOKUP(G11,'G-1 All Habitats'!$B$2:$M$129,10,FALSE))</f>
        <v>V.Low</v>
      </c>
      <c r="J11" s="498">
        <f>IFERROR(VLOOKUP(I11,'G-1 All Habitats'!$V$3:$W$7,2,FALSE),"")</f>
        <v>0</v>
      </c>
      <c r="K11" s="71" t="s">
        <v>407</v>
      </c>
      <c r="L11" s="498">
        <f>IFERROR(INDEX('G-8 Condition Look up'!$A$3:$H$130,MATCH(G11,'G-8 Condition Look up'!$A$3:$A$130,0),MATCH(K11,'G-8 Condition Look up'!$A$3:$H$3,0)),"")</f>
        <v>0</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Compensation Not Required</v>
      </c>
      <c r="Q11" s="512">
        <f>IFERROR(IF(P11="","",IF(AND(P11='G-1 All Habitats'!$X$3,T11&gt;0),U11+V11,IF(AND(P11='G-1 All Habitats'!$X$3,S11&gt;0),U11+V11,IF(AND(P11='G-1 All Habitats'!$X$3,AC11&gt;0),"Any Loss Unacceptable ▲",IF(AND(P11='G-1 All Habitats'!$X$3,W11&gt;0),"Any Loss Unacceptable ▲",H11*J11*L11*O11))))),"Check Data ▲")</f>
        <v>0</v>
      </c>
      <c r="R11" s="50"/>
      <c r="S11" s="71"/>
      <c r="T11" s="72"/>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0.31</v>
      </c>
      <c r="X11" s="514">
        <f>IFERROR(IF(H11="","",IF(H11-S11-T11=0&lt;0,"Error in Areas ▲",IF(S11+T11&gt;H11,"Error in Areas ▲",IF(AND(P11='G-1 All Habitats'!$X$3,Y11="Yes"),"Alternative Compensation ✓",IF(W11=0,0,IF(P11='G-1 All Habitats'!$X$3,"Unacceptable Loss ▲",Q11-U11-V11)))))),"Check Data ▲")</f>
        <v>0</v>
      </c>
      <c r="Y11" s="72"/>
      <c r="Z11" s="73" t="s">
        <v>924</v>
      </c>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f t="array" ref="AK11">IFERROR(INDEX($AI$11:$AI$259, MATCH(0, IF(TRUE=$AF$11:$AF$259, COUNTIF($AK$10:$AK10, $AI$11:$AI$259), ""), 0)),"")</f>
        <v>3</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8.5" x14ac:dyDescent="0.2">
      <c r="A12" s="47" t="str">
        <f>IFERROR(INDEX('G-1 All Habitats'!$AG$3:$AG$15,MATCH(E12,'G-1 All Habitats'!$AF$3:$AF$15,0)),"")</f>
        <v>Urban</v>
      </c>
      <c r="B12" s="47" t="str">
        <f>IFERROR(INDEX('G-8 Condition Look up'!$I$4:$I$130,MATCH(G12,'G-8 Condition Look up'!$A$4:$A$130,0)),"")</f>
        <v>Cond2</v>
      </c>
      <c r="D12" s="77">
        <v>2</v>
      </c>
      <c r="E12" s="340" t="s">
        <v>74</v>
      </c>
      <c r="F12" s="79" t="s">
        <v>599</v>
      </c>
      <c r="G12" s="69" t="str">
        <f>IFERROR(INDEX('G-1 All Habitats'!$B$3:$B$129,MATCH(F12,'G-1 All Habitats'!$A$3:$A$129,0)),"")</f>
        <v>Urban - Developed land; sealed surface</v>
      </c>
      <c r="H12" s="70">
        <v>0.39</v>
      </c>
      <c r="I12" s="497" t="str">
        <f>IF(G12="","",VLOOKUP(G12,'G-1 All Habitats'!$B$2:$M$129,10,FALSE))</f>
        <v>V.Low</v>
      </c>
      <c r="J12" s="498">
        <f>IFERROR(VLOOKUP(I12,'G-1 All Habitats'!$V$3:$W$7,2,FALSE),"")</f>
        <v>0</v>
      </c>
      <c r="K12" s="71" t="s">
        <v>407</v>
      </c>
      <c r="L12" s="498">
        <f>IFERROR(INDEX('G-8 Condition Look up'!$A$3:$H$130,MATCH(G12,'G-8 Condition Look up'!$A$3:$A$130,0),MATCH(K12,'G-8 Condition Look up'!$A$3:$H$3,0)),"")</f>
        <v>0</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Compensation Not Required</v>
      </c>
      <c r="Q12" s="512">
        <f>IFERROR(IF(P12="","",IF(AND(P12='G-1 All Habitats'!$X$3,T12&gt;0),U12+V12,IF(AND(P12='G-1 All Habitats'!$X$3,S12&gt;0),U12+V12,IF(AND(P12='G-1 All Habitats'!$X$3,AC12&gt;0),"Any Loss Unacceptable ▲",IF(AND(P12='G-1 All Habitats'!$X$3,W12&gt;0),"Any Loss Unacceptable ▲",H12*J12*L12*O12))))),"Check Data ▲")</f>
        <v>0</v>
      </c>
      <c r="R12" s="50"/>
      <c r="S12" s="71"/>
      <c r="T12" s="72"/>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0.39</v>
      </c>
      <c r="X12" s="514">
        <f>IFERROR(IF(H12="","",IF(H12-S12-T12=0&lt;0,"Error in Areas ▲",IF(S12+T12&gt;H12,"Error in Areas ▲",IF(AND(P12='G-1 All Habitats'!$X$3,Y12="Yes"),"Alternative Compensation ✓",IF(W12=0,0,IF(P12='G-1 All Habitats'!$X$3,"Unacceptable Loss ▲",Q12-U12-V12)))))),"Check Data ▲")</f>
        <v>0</v>
      </c>
      <c r="Y12" s="72"/>
      <c r="Z12" s="80" t="s">
        <v>924</v>
      </c>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f t="array" ref="AK12">IFERROR(INDEX($AI$11:$AI$259, MATCH(0, IF(TRUE=$AF$11:$AF$259, COUNTIF($AK$10:$AK11, $AI$11:$AI$259), ""), 0)),"")</f>
        <v>4</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30" x14ac:dyDescent="0.25">
      <c r="A13" s="47" t="str">
        <f>IFERROR(INDEX('G-1 All Habitats'!$AG$3:$AG$15,MATCH(E13,'G-1 All Habitats'!$AF$3:$AF$15,0)),"")</f>
        <v>Urban</v>
      </c>
      <c r="B13" s="47" t="str">
        <f>IFERROR(INDEX('G-8 Condition Look up'!$I$4:$I$130,MATCH(G13,'G-8 Condition Look up'!$A$4:$A$130,0)),"")</f>
        <v>Cond4</v>
      </c>
      <c r="D13" s="77">
        <v>3</v>
      </c>
      <c r="E13" s="340" t="s">
        <v>74</v>
      </c>
      <c r="F13" s="79" t="s">
        <v>627</v>
      </c>
      <c r="G13" s="69" t="str">
        <f>IFERROR(INDEX('G-1 All Habitats'!$B$3:$B$129,MATCH(F13,'G-1 All Habitats'!$A$3:$A$129,0)),"")</f>
        <v>Urban - Urban Tree</v>
      </c>
      <c r="H13" s="70">
        <v>1.96</v>
      </c>
      <c r="I13" s="497" t="str">
        <f>IF(G13="","",VLOOKUP(G13,'G-1 All Habitats'!$B$2:$M$129,10,FALSE))</f>
        <v>Medium</v>
      </c>
      <c r="J13" s="498">
        <f>IFERROR(VLOOKUP(I13,'G-1 All Habitats'!$V$3:$W$7,2,FALSE),"")</f>
        <v>4</v>
      </c>
      <c r="K13" s="71" t="s">
        <v>21</v>
      </c>
      <c r="L13" s="498">
        <f>IFERROR(INDEX('G-8 Condition Look up'!$A$3:$H$130,MATCH(G13,'G-8 Condition Look up'!$A$3:$A$130,0),MATCH(K13,'G-8 Condition Look up'!$A$3:$H$3,0)),"")</f>
        <v>3</v>
      </c>
      <c r="M13" s="71" t="s">
        <v>913</v>
      </c>
      <c r="N13" s="519" t="str">
        <f>IF(M13="","",IF(VLOOKUP(M13,'G-3 Multipliers'!$L$3:$N$6,2,FALSE)=0,"Spatial Data Missing",VLOOKUP(M13,'G-3 Multipliers'!$L$3:$N$6,2,FALSE)))</f>
        <v xml:space="preserve">High strategic significance </v>
      </c>
      <c r="O13" s="504">
        <f>IF(M13="","",IF(VLOOKUP(M13,'G-3 Multipliers'!$L$3:$N$6,3,FALSE)=0,"Spatial Data Missing ▲",VLOOKUP(M13,'G-3 Multipliers'!$L$3:$N$6,3,FALSE)))</f>
        <v>1.1499999999999999</v>
      </c>
      <c r="P13" s="505" t="str">
        <f>IFERROR(VLOOKUP(G13,'G-1 All Habitats'!$B$2:$M$129,12,FALSE),"")</f>
        <v>Same broad habitat or a higher distinctiveness habitat required (≥)</v>
      </c>
      <c r="Q13" s="512">
        <f>IFERROR(IF(P13="","",IF(AND(P13='G-1 All Habitats'!$X$3,T13&gt;0),U13+V13,IF(AND(P13='G-1 All Habitats'!$X$3,S13&gt;0),U13+V13,IF(AND(P13='G-1 All Habitats'!$X$3,AC13&gt;0),"Any Loss Unacceptable ▲",IF(AND(P13='G-1 All Habitats'!$X$3,W13&gt;0),"Any Loss Unacceptable ▲",H13*J13*L13*O13))))),"Check Data ▲")</f>
        <v>27.047999999999998</v>
      </c>
      <c r="R13" s="50"/>
      <c r="S13" s="71">
        <v>1.94</v>
      </c>
      <c r="T13" s="72"/>
      <c r="U13" s="510">
        <f t="shared" ref="U13:U76" si="3">IFERROR(S13*J13*L13*O13,"")</f>
        <v>26.771999999999998</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2.0000000000000018E-2</v>
      </c>
      <c r="X13" s="514">
        <f>IFERROR(IF(H13="","",IF(H13-S13-T13=0&lt;0,"Error in Areas ▲",IF(S13+T13&gt;H13,"Error in Areas ▲",IF(AND(P13='G-1 All Habitats'!$X$3,Y13="Yes"),"Alternative Compensation ✓",IF(W13=0,0,IF(P13='G-1 All Habitats'!$X$3,"Unacceptable Loss ▲",Q13-U13-V13)))))),"Check Data ▲")</f>
        <v>0.2759999999999998</v>
      </c>
      <c r="Y13" s="72"/>
      <c r="Z13" s="80" t="s">
        <v>1559</v>
      </c>
      <c r="AA13" s="81"/>
      <c r="AC13" s="75" t="str">
        <f>IF(P13="","",IF(P13='G-1 All Habitats'!$X$3,H13-S13-T13,"None"))</f>
        <v>None</v>
      </c>
      <c r="AD13" s="76" t="str">
        <f>IFERROR(AC13*J13*L13*#REF!*O13,IF(P13="","","None"))</f>
        <v>None</v>
      </c>
      <c r="AF13" s="54" t="b">
        <f t="shared" si="0"/>
        <v>1</v>
      </c>
      <c r="AG13" s="54" t="b">
        <f t="shared" si="1"/>
        <v>0</v>
      </c>
      <c r="AH13" s="54" t="e">
        <f>IF(I13="","",IF(#REF!&gt;0,TRUE,FALSE))</f>
        <v>#REF!</v>
      </c>
      <c r="AI13" s="54">
        <v>3</v>
      </c>
      <c r="AJ13" s="54"/>
      <c r="AK13" s="54">
        <f t="array" ref="AK13">IFERROR(INDEX($AI$11:$AI$259, MATCH(0, IF(TRUE=$AF$11:$AF$259, COUNTIF($AK$10:$AK12, $AI$11:$AI$259), ""), 0)),"")</f>
        <v>5</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30" x14ac:dyDescent="0.25">
      <c r="A14" s="47" t="str">
        <f>IFERROR(INDEX('G-1 All Habitats'!$AG$3:$AG$15,MATCH(E14,'G-1 All Habitats'!$AF$3:$AF$15,0)),"")</f>
        <v>Urban</v>
      </c>
      <c r="B14" s="47" t="str">
        <f>IFERROR(INDEX('G-8 Condition Look up'!$I$4:$I$130,MATCH(G14,'G-8 Condition Look up'!$A$4:$A$130,0)),"")</f>
        <v>Cond1</v>
      </c>
      <c r="D14" s="77">
        <v>4</v>
      </c>
      <c r="E14" s="79" t="s">
        <v>74</v>
      </c>
      <c r="F14" s="79" t="s">
        <v>615</v>
      </c>
      <c r="G14" s="69" t="str">
        <f>IFERROR(INDEX('G-1 All Habitats'!$B$3:$B$129,MATCH(F14,'G-1 All Habitats'!$A$3:$A$129,0)),"")</f>
        <v>Urban - Introduced shrub</v>
      </c>
      <c r="H14" s="70">
        <v>0.02</v>
      </c>
      <c r="I14" s="497" t="str">
        <f>IF(G14="","",VLOOKUP(G14,'G-1 All Habitats'!$B$2:$M$129,10,FALSE))</f>
        <v>Low</v>
      </c>
      <c r="J14" s="498">
        <f>IFERROR(VLOOKUP(I14,'G-1 All Habitats'!$V$3:$W$7,2,FALSE),"")</f>
        <v>2</v>
      </c>
      <c r="K14" s="71" t="s">
        <v>403</v>
      </c>
      <c r="L14" s="498">
        <f>IFERROR(INDEX('G-8 Condition Look up'!$A$3:$H$130,MATCH(G14,'G-8 Condition Look up'!$A$3:$A$130,0),MATCH(K14,'G-8 Condition Look up'!$A$3:$H$3,0)),"")</f>
        <v>1</v>
      </c>
      <c r="M14" s="71" t="s">
        <v>921</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distinctiveness or better habitat required ≥</v>
      </c>
      <c r="Q14" s="512">
        <f>IFERROR(IF(P14="","",IF(AND(P14='G-1 All Habitats'!$X$3,T14&gt;0),U14+V14,IF(AND(P14='G-1 All Habitats'!$X$3,S14&gt;0),U14+V14,IF(AND(P14='G-1 All Habitats'!$X$3,AC14&gt;0),"Any Loss Unacceptable ▲",IF(AND(P14='G-1 All Habitats'!$X$3,W14&gt;0),"Any Loss Unacceptable ▲",H14*J14*L14*O14))))),"Check Data ▲")</f>
        <v>0.04</v>
      </c>
      <c r="R14" s="50"/>
      <c r="S14" s="71">
        <v>0.02</v>
      </c>
      <c r="T14" s="72"/>
      <c r="U14" s="510">
        <f t="shared" si="3"/>
        <v>0.04</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0</v>
      </c>
      <c r="X14" s="514">
        <f>IFERROR(IF(H14="","",IF(H14-S14-T14=0&lt;0,"Error in Areas ▲",IF(S14+T14&gt;H14,"Error in Areas ▲",IF(AND(P14='G-1 All Habitats'!$X$3,Y14="Yes"),"Alternative Compensation ✓",IF(W14=0,0,IF(P14='G-1 All Habitats'!$X$3,"Unacceptable Loss ▲",Q14-U14-V14)))))),"Check Data ▲")</f>
        <v>0</v>
      </c>
      <c r="Y14" s="72"/>
      <c r="Z14" s="80" t="s">
        <v>924</v>
      </c>
      <c r="AA14" s="81"/>
      <c r="AC14" s="75" t="str">
        <f>IF(P14="","",IF(P14='G-1 All Habitats'!$X$3,H14-S14-T14,"None"))</f>
        <v>None</v>
      </c>
      <c r="AD14" s="76" t="str">
        <f>IFERROR(AC14*J14*L14*#REF!*O14,IF(P14="","","None"))</f>
        <v>None</v>
      </c>
      <c r="AF14" s="54" t="b">
        <f t="shared" si="0"/>
        <v>1</v>
      </c>
      <c r="AG14" s="54" t="b">
        <f t="shared" si="1"/>
        <v>0</v>
      </c>
      <c r="AH14" s="54" t="e">
        <f>IF(I14="","",IF(#REF!&gt;0,TRUE,FALSE))</f>
        <v>#REF!</v>
      </c>
      <c r="AI14" s="54">
        <v>4</v>
      </c>
      <c r="AJ14" s="54"/>
      <c r="AK14" s="54">
        <f t="array" ref="AK14">IFERROR(INDEX($AI$11:$AI$259, MATCH(0, IF(TRUE=$AF$11:$AF$259, COUNTIF($AK$10:$AK13, $AI$11:$AI$259), ""), 0)),"")</f>
        <v>6</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60" x14ac:dyDescent="0.25">
      <c r="A15" s="47" t="str">
        <f>IFERROR(INDEX('G-1 All Habitats'!$AG$3:$AG$15,MATCH(E15,'G-1 All Habitats'!$AF$3:$AF$15,0)),"")</f>
        <v>Grassland</v>
      </c>
      <c r="B15" s="47" t="str">
        <f>IFERROR(INDEX('G-8 Condition Look up'!$I$4:$I$130,MATCH(G15,'G-8 Condition Look up'!$A$4:$A$130,0)),"")</f>
        <v>Cond4</v>
      </c>
      <c r="D15" s="77">
        <v>5</v>
      </c>
      <c r="E15" s="340" t="s">
        <v>70</v>
      </c>
      <c r="F15" s="79" t="s">
        <v>448</v>
      </c>
      <c r="G15" s="69" t="str">
        <f>IFERROR(INDEX('G-1 All Habitats'!$B$3:$B$129,MATCH(F15,'G-1 All Habitats'!$A$3:$A$129,0)),"")</f>
        <v>Grassland - Modified grassland</v>
      </c>
      <c r="H15" s="70">
        <v>1.48</v>
      </c>
      <c r="I15" s="497" t="str">
        <f>IF(G15="","",VLOOKUP(G15,'G-1 All Habitats'!$B$2:$M$129,10,FALSE))</f>
        <v>Low</v>
      </c>
      <c r="J15" s="498">
        <f>IFERROR(VLOOKUP(I15,'G-1 All Habitats'!$V$3:$W$7,2,FALSE),"")</f>
        <v>2</v>
      </c>
      <c r="K15" s="71" t="s">
        <v>242</v>
      </c>
      <c r="L15" s="498">
        <f>IFERROR(INDEX('G-8 Condition Look up'!$A$3:$H$130,MATCH(G15,'G-8 Condition Look up'!$A$3:$A$130,0),MATCH(K15,'G-8 Condition Look up'!$A$3:$H$3,0)),"")</f>
        <v>1</v>
      </c>
      <c r="M15" s="71" t="s">
        <v>921</v>
      </c>
      <c r="N15" s="519" t="str">
        <f>IF(M15="","",IF(VLOOKUP(M15,'G-3 Multipliers'!$L$3:$N$6,2,FALSE)=0,"Spatial Data Missing",VLOOKUP(M15,'G-3 Multipliers'!$L$3:$N$6,2,FALSE)))</f>
        <v>Low Strategic Significance</v>
      </c>
      <c r="O15" s="504">
        <f>IF(M15="","",IF(VLOOKUP(M15,'G-3 Multipliers'!$L$3:$N$6,3,FALSE)=0,"Spatial Data Missing ▲",VLOOKUP(M15,'G-3 Multipliers'!$L$3:$N$6,3,FALSE)))</f>
        <v>1</v>
      </c>
      <c r="P15" s="505" t="str">
        <f>IFERROR(VLOOKUP(G15,'G-1 All Habitats'!$B$2:$M$129,12,FALSE),"")</f>
        <v>Same distinctiveness or better habitat required ≥</v>
      </c>
      <c r="Q15" s="512">
        <f>IFERROR(IF(P15="","",IF(AND(P15='G-1 All Habitats'!$X$3,T15&gt;0),U15+V15,IF(AND(P15='G-1 All Habitats'!$X$3,S15&gt;0),U15+V15,IF(AND(P15='G-1 All Habitats'!$X$3,AC15&gt;0),"Any Loss Unacceptable ▲",IF(AND(P15='G-1 All Habitats'!$X$3,W15&gt;0),"Any Loss Unacceptable ▲",H15*J15*L15*O15))))),"Check Data ▲")</f>
        <v>2.96</v>
      </c>
      <c r="R15" s="50"/>
      <c r="S15" s="71">
        <v>1.4</v>
      </c>
      <c r="T15" s="72"/>
      <c r="U15" s="510">
        <f t="shared" si="3"/>
        <v>2.8</v>
      </c>
      <c r="V15" s="510">
        <f t="shared" si="4"/>
        <v>0</v>
      </c>
      <c r="W15" s="510">
        <f>IF(E15="","",IF(H15&lt;S15+T15,"Error in Areas ▲",IF(P15&lt;&gt;'G-1 All Habitats'!$X$3,H15-S15-T15,IF(AND(P15='G-1 All Habitats'!$X$3,Y15="Yes"),"Unacceptable Loss",IF(AND(P15='G-1 All Habitats'!$X$3,Y15="No"),AC15,IF(AND(P15='G-1 All Habitats'!$X$3,Y15=""),AC15,IF(AND(P15='G-1 All Habitats'!$X$3,AC15="None",AC15),IF(AND(P15='G-1 All Habitats'!$X$3,AC15&gt;0),H15-S15-T15))))))))</f>
        <v>8.0000000000000071E-2</v>
      </c>
      <c r="X15" s="514">
        <f>IFERROR(IF(H15="","",IF(H15-S15-T15=0&lt;0,"Error in Areas ▲",IF(S15+T15&gt;H15,"Error in Areas ▲",IF(AND(P15='G-1 All Habitats'!$X$3,Y15="Yes"),"Alternative Compensation ✓",IF(W15=0,0,IF(P15='G-1 All Habitats'!$X$3,"Unacceptable Loss ▲",Q15-U15-V15)))))),"Check Data ▲")</f>
        <v>0.16000000000000014</v>
      </c>
      <c r="Y15" s="72"/>
      <c r="Z15" s="80" t="s">
        <v>1558</v>
      </c>
      <c r="AA15" s="81"/>
      <c r="AC15" s="75" t="str">
        <f>IF(P15="","",IF(P15='G-1 All Habitats'!$X$3,H15-S15-T15,"None"))</f>
        <v>None</v>
      </c>
      <c r="AD15" s="76" t="str">
        <f>IFERROR(AC15*J15*L15*#REF!*O15,IF(P15="","","None"))</f>
        <v>None</v>
      </c>
      <c r="AF15" s="54" t="b">
        <f t="shared" si="0"/>
        <v>1</v>
      </c>
      <c r="AG15" s="54" t="b">
        <f t="shared" si="1"/>
        <v>0</v>
      </c>
      <c r="AH15" s="54" t="e">
        <f>IF(I15="","",IF(#REF!&gt;0,TRUE,FALSE))</f>
        <v>#REF!</v>
      </c>
      <c r="AI15" s="54">
        <v>5</v>
      </c>
      <c r="AJ15" s="54"/>
      <c r="AK15" s="54">
        <f t="array" ref="AK15">IFERROR(INDEX($AI$11:$AI$259, MATCH(0, IF(TRUE=$AF$11:$AF$259, COUNTIF($AK$10:$AK14, $AI$11:$AI$259), ""), 0)),"")</f>
        <v>7</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30" x14ac:dyDescent="0.25">
      <c r="A16" s="47" t="str">
        <f>IFERROR(INDEX('G-1 All Habitats'!$AG$3:$AG$15,MATCH(E16,'G-1 All Habitats'!$AF$3:$AF$15,0)),"")</f>
        <v>Woodland_and_forest</v>
      </c>
      <c r="B16" s="47" t="str">
        <f>IFERROR(INDEX('G-8 Condition Look up'!$I$4:$I$130,MATCH(G16,'G-8 Condition Look up'!$A$4:$A$130,0)),"")</f>
        <v>Cond4</v>
      </c>
      <c r="D16" s="77">
        <v>6</v>
      </c>
      <c r="E16" s="79" t="s">
        <v>76</v>
      </c>
      <c r="F16" s="79" t="s">
        <v>691</v>
      </c>
      <c r="G16" s="69" t="str">
        <f>IFERROR(INDEX('G-1 All Habitats'!$B$3:$B$129,MATCH(F16,'G-1 All Habitats'!$A$3:$A$129,0)),"")</f>
        <v>Woodland and forest - Other woodland; broadleaved</v>
      </c>
      <c r="H16" s="70">
        <v>0.54</v>
      </c>
      <c r="I16" s="497" t="str">
        <f>IF(G16="","",VLOOKUP(G16,'G-1 All Habitats'!$B$2:$M$129,10,FALSE))</f>
        <v>Medium</v>
      </c>
      <c r="J16" s="498">
        <f>IFERROR(VLOOKUP(I16,'G-1 All Habitats'!$V$3:$W$7,2,FALSE),"")</f>
        <v>4</v>
      </c>
      <c r="K16" s="71" t="s">
        <v>21</v>
      </c>
      <c r="L16" s="498">
        <f>IFERROR(INDEX('G-8 Condition Look up'!$A$3:$H$130,MATCH(G16,'G-8 Condition Look up'!$A$3:$A$130,0),MATCH(K16,'G-8 Condition Look up'!$A$3:$H$3,0)),"")</f>
        <v>3</v>
      </c>
      <c r="M16" s="71" t="s">
        <v>913</v>
      </c>
      <c r="N16" s="519" t="str">
        <f>IF(M16="","",IF(VLOOKUP(M16,'G-3 Multipliers'!$L$3:$N$6,2,FALSE)=0,"Spatial Data Missing",VLOOKUP(M16,'G-3 Multipliers'!$L$3:$N$6,2,FALSE)))</f>
        <v xml:space="preserve">High strategic significance </v>
      </c>
      <c r="O16" s="504">
        <f>IF(M16="","",IF(VLOOKUP(M16,'G-3 Multipliers'!$L$3:$N$6,3,FALSE)=0,"Spatial Data Missing ▲",VLOOKUP(M16,'G-3 Multipliers'!$L$3:$N$6,3,FALSE)))</f>
        <v>1.1499999999999999</v>
      </c>
      <c r="P16" s="505" t="str">
        <f>IFERROR(VLOOKUP(G16,'G-1 All Habitats'!$B$2:$M$129,12,FALSE),"")</f>
        <v>Same broad habitat or a higher distinctiveness habitat required (≥)</v>
      </c>
      <c r="Q16" s="512">
        <f>IFERROR(IF(P16="","",IF(AND(P16='G-1 All Habitats'!$X$3,T16&gt;0),U16+V16,IF(AND(P16='G-1 All Habitats'!$X$3,S16&gt;0),U16+V16,IF(AND(P16='G-1 All Habitats'!$X$3,AC16&gt;0),"Any Loss Unacceptable ▲",IF(AND(P16='G-1 All Habitats'!$X$3,W16&gt;0),"Any Loss Unacceptable ▲",H16*J16*L16*O16))))),"Check Data ▲")</f>
        <v>7.452</v>
      </c>
      <c r="R16" s="50"/>
      <c r="S16" s="71">
        <v>0.54</v>
      </c>
      <c r="T16" s="72"/>
      <c r="U16" s="510">
        <f t="shared" si="3"/>
        <v>7.452</v>
      </c>
      <c r="V16" s="510">
        <f t="shared" si="4"/>
        <v>0</v>
      </c>
      <c r="W16" s="510">
        <f>IF(E16="","",IF(H16&lt;S16+T16,"Error in Areas ▲",IF(P16&lt;&gt;'G-1 All Habitats'!$X$3,H16-S16-T16,IF(AND(P16='G-1 All Habitats'!$X$3,Y16="Yes"),"Unacceptable Loss",IF(AND(P16='G-1 All Habitats'!$X$3,Y16="No"),AC16,IF(AND(P16='G-1 All Habitats'!$X$3,Y16=""),AC16,IF(AND(P16='G-1 All Habitats'!$X$3,AC16="None",AC16),IF(AND(P16='G-1 All Habitats'!$X$3,AC16&gt;0),H16-S16-T16))))))))</f>
        <v>0</v>
      </c>
      <c r="X16" s="514">
        <f>IFERROR(IF(H16="","",IF(H16-S16-T16=0&lt;0,"Error in Areas ▲",IF(S16+T16&gt;H16,"Error in Areas ▲",IF(AND(P16='G-1 All Habitats'!$X$3,Y16="Yes"),"Alternative Compensation ✓",IF(W16=0,0,IF(P16='G-1 All Habitats'!$X$3,"Unacceptable Loss ▲",Q16-U16-V16)))))),"Check Data ▲")</f>
        <v>0</v>
      </c>
      <c r="Y16" s="72"/>
      <c r="Z16" s="80" t="s">
        <v>1559</v>
      </c>
      <c r="AA16" s="81"/>
      <c r="AC16" s="75" t="str">
        <f>IF(P16="","",IF(P16='G-1 All Habitats'!$X$3,H16-S16-T16,"None"))</f>
        <v>None</v>
      </c>
      <c r="AD16" s="76" t="str">
        <f>IFERROR(AC16*J16*L16*#REF!*O16,IF(P16="","","None"))</f>
        <v>None</v>
      </c>
      <c r="AF16" s="54" t="b">
        <f t="shared" si="0"/>
        <v>1</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ht="30" x14ac:dyDescent="0.25">
      <c r="A17" s="47" t="str">
        <f>IFERROR(INDEX('G-1 All Habitats'!$AG$3:$AG$15,MATCH(E17,'G-1 All Habitats'!$AF$3:$AF$15,0)),"")</f>
        <v>Lakes</v>
      </c>
      <c r="B17" s="47" t="str">
        <f>IFERROR(INDEX('G-8 Condition Look up'!$I$4:$I$130,MATCH(G17,'G-8 Condition Look up'!$A$4:$A$130,0)),"")</f>
        <v>Cond4</v>
      </c>
      <c r="D17" s="77">
        <v>7</v>
      </c>
      <c r="E17" s="341" t="s">
        <v>72</v>
      </c>
      <c r="F17" s="79" t="s">
        <v>543</v>
      </c>
      <c r="G17" s="69" t="str">
        <f>IFERROR(INDEX('G-1 All Habitats'!$B$3:$B$129,MATCH(F17,'G-1 All Habitats'!$A$3:$A$129,0)),"")</f>
        <v>Lakes - Ponds (Non- Priority Habitat)</v>
      </c>
      <c r="H17" s="70">
        <v>0.04</v>
      </c>
      <c r="I17" s="497" t="str">
        <f>IF(G17="","",VLOOKUP(G17,'G-1 All Habitats'!$B$2:$M$129,10,FALSE))</f>
        <v>Medium</v>
      </c>
      <c r="J17" s="498">
        <f>IFERROR(VLOOKUP(I17,'G-1 All Habitats'!$V$3:$W$7,2,FALSE),"")</f>
        <v>4</v>
      </c>
      <c r="K17" s="71" t="s">
        <v>21</v>
      </c>
      <c r="L17" s="498">
        <f>IFERROR(INDEX('G-8 Condition Look up'!$A$3:$H$130,MATCH(G17,'G-8 Condition Look up'!$A$3:$A$130,0),MATCH(K17,'G-8 Condition Look up'!$A$3:$H$3,0)),"")</f>
        <v>3</v>
      </c>
      <c r="M17" s="71" t="s">
        <v>913</v>
      </c>
      <c r="N17" s="519" t="str">
        <f>IF(M17="","",IF(VLOOKUP(M17,'G-3 Multipliers'!$L$3:$N$6,2,FALSE)=0,"Spatial Data Missing",VLOOKUP(M17,'G-3 Multipliers'!$L$3:$N$6,2,FALSE)))</f>
        <v xml:space="preserve">High strategic significance </v>
      </c>
      <c r="O17" s="504">
        <f>IF(M17="","",IF(VLOOKUP(M17,'G-3 Multipliers'!$L$3:$N$6,3,FALSE)=0,"Spatial Data Missing ▲",VLOOKUP(M17,'G-3 Multipliers'!$L$3:$N$6,3,FALSE)))</f>
        <v>1.1499999999999999</v>
      </c>
      <c r="P17" s="505" t="str">
        <f>IFERROR(VLOOKUP(G17,'G-1 All Habitats'!$B$2:$M$129,12,FALSE),"")</f>
        <v>Same broad habitat or a higher distinctiveness habitat required (≥)</v>
      </c>
      <c r="Q17" s="512">
        <f>IFERROR(IF(P17="","",IF(AND(P17='G-1 All Habitats'!$X$3,T17&gt;0),U17+V17,IF(AND(P17='G-1 All Habitats'!$X$3,S17&gt;0),U17+V17,IF(AND(P17='G-1 All Habitats'!$X$3,AC17&gt;0),"Any Loss Unacceptable ▲",IF(AND(P17='G-1 All Habitats'!$X$3,W17&gt;0),"Any Loss Unacceptable ▲",H17*J17*L17*O17))))),"Check Data ▲")</f>
        <v>0.55199999999999994</v>
      </c>
      <c r="R17" s="50"/>
      <c r="S17" s="71">
        <v>0.04</v>
      </c>
      <c r="T17" s="72"/>
      <c r="U17" s="510">
        <f t="shared" si="3"/>
        <v>0.55199999999999994</v>
      </c>
      <c r="V17" s="510">
        <f t="shared" si="4"/>
        <v>0</v>
      </c>
      <c r="W17" s="510">
        <f>IF(E17="","",IF(H17&lt;S17+T17,"Error in Areas ▲",IF(P17&lt;&gt;'G-1 All Habitats'!$X$3,H17-S17-T17,IF(AND(P17='G-1 All Habitats'!$X$3,Y17="Yes"),"Unacceptable Loss",IF(AND(P17='G-1 All Habitats'!$X$3,Y17="No"),AC17,IF(AND(P17='G-1 All Habitats'!$X$3,Y17=""),AC17,IF(AND(P17='G-1 All Habitats'!$X$3,AC17="None",AC17),IF(AND(P17='G-1 All Habitats'!$X$3,AC17&gt;0),H17-S17-T17))))))))</f>
        <v>0</v>
      </c>
      <c r="X17" s="514">
        <f>IFERROR(IF(H17="","",IF(H17-S17-T17=0&lt;0,"Error in Areas ▲",IF(S17+T17&gt;H17,"Error in Areas ▲",IF(AND(P17='G-1 All Habitats'!$X$3,Y17="Yes"),"Alternative Compensation ✓",IF(W17=0,0,IF(P17='G-1 All Habitats'!$X$3,"Unacceptable Loss ▲",Q17-U17-V17)))))),"Check Data ▲")</f>
        <v>0</v>
      </c>
      <c r="Y17" s="72"/>
      <c r="Z17" s="80" t="s">
        <v>1559</v>
      </c>
      <c r="AA17" s="81"/>
      <c r="AC17" s="75" t="str">
        <f>IF(P17="","",IF(P17='G-1 All Habitats'!$X$3,H17-S17-T17,"None"))</f>
        <v>None</v>
      </c>
      <c r="AD17" s="76" t="str">
        <f>IFERROR(AC17*J17*L17*#REF!*O17,IF(P17="","","None"))</f>
        <v>None</v>
      </c>
      <c r="AF17" s="54" t="b">
        <f t="shared" si="0"/>
        <v>1</v>
      </c>
      <c r="AG17" s="54" t="b">
        <f t="shared" si="1"/>
        <v>0</v>
      </c>
      <c r="AH17" s="54" t="e">
        <f>IF(I17="","",IF(#REF!&gt;0,TRUE,FALSE))</f>
        <v>#REF!</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5">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5.75" thickBot="1" x14ac:dyDescent="0.3">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5.75" thickBot="1" x14ac:dyDescent="0.3">
      <c r="F259" s="501" t="s">
        <v>223</v>
      </c>
      <c r="H259" s="502">
        <f>SUM(H9:H256)</f>
        <v>4.74</v>
      </c>
      <c r="N259" s="50"/>
      <c r="P259" s="444"/>
      <c r="Q259" s="513">
        <f>IF('Detailed Results'!$K$40&gt;0,"Error",SUM(Q11:Q258))</f>
        <v>38.052</v>
      </c>
      <c r="R259" s="85"/>
      <c r="S259" s="516">
        <f>IF('Detailed Results'!$K$40&gt;0,"Error",SUM(S11:S258))</f>
        <v>3.94</v>
      </c>
      <c r="T259" s="517">
        <f>IF('Detailed Results'!$K$40&gt;0,"Error",SUM(T11:T258))</f>
        <v>0</v>
      </c>
      <c r="U259" s="517">
        <f>IF('Detailed Results'!$K$40&gt;0,"Error",SUM(U11:U258))</f>
        <v>37.616</v>
      </c>
      <c r="V259" s="517">
        <f>IF('Detailed Results'!$K$40&gt;0,"Error",SUM(V11:V258))</f>
        <v>0</v>
      </c>
      <c r="W259" s="517">
        <f>IF('Detailed Results'!$K$40&gt;0,"Error",SUM(W11:W258))</f>
        <v>0.8</v>
      </c>
      <c r="X259" s="513">
        <f>IF('Detailed Results'!$K$40&gt;0,"Error",SUM(X11:X258))</f>
        <v>0.43599999999999994</v>
      </c>
      <c r="AQ259" s="55">
        <f>SUM(AQ11:AQ258)</f>
        <v>0</v>
      </c>
    </row>
    <row r="260" spans="1:43" ht="28.5" customHeight="1" thickBot="1" x14ac:dyDescent="0.3">
      <c r="F260" s="457"/>
      <c r="P260" s="48"/>
      <c r="Y260" s="86"/>
    </row>
    <row r="261" spans="1:43" ht="38.25" customHeight="1" thickBot="1" x14ac:dyDescent="0.3">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0.78</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abSelected="1" topLeftCell="P1" zoomScaleNormal="100" workbookViewId="0">
      <pane ySplit="10" topLeftCell="A11" activePane="bottomLeft" state="frozen"/>
      <selection activeCell="S28" sqref="S28"/>
      <selection pane="bottomLeft" activeCell="Z18" sqref="Z18"/>
    </sheetView>
  </sheetViews>
  <sheetFormatPr defaultColWidth="0" defaultRowHeight="15" zeroHeight="1" x14ac:dyDescent="0.25"/>
  <cols>
    <col min="1" max="1" width="7.42578125" style="47" hidden="1" customWidth="1"/>
    <col min="2" max="2" width="9.5703125" style="47" hidden="1" customWidth="1"/>
    <col min="3" max="3" width="24.28515625" style="47" hidden="1" customWidth="1"/>
    <col min="4" max="4" width="27.140625" style="47" customWidth="1"/>
    <col min="5" max="5" width="75" style="49" customWidth="1"/>
    <col min="6" max="6" width="15.85546875" style="47" hidden="1" customWidth="1"/>
    <col min="7" max="7" width="12.7109375" style="47" customWidth="1"/>
    <col min="8" max="8" width="18" style="47" customWidth="1"/>
    <col min="9" max="9" width="14.140625" style="47" customWidth="1"/>
    <col min="10" max="11" width="12.5703125" style="47" customWidth="1"/>
    <col min="12" max="12" width="42.28515625" style="47" customWidth="1"/>
    <col min="13" max="13" width="19.5703125" style="47" customWidth="1"/>
    <col min="14" max="14" width="13.140625" style="47" customWidth="1"/>
    <col min="15" max="15" width="18" style="47" customWidth="1"/>
    <col min="16" max="16" width="17.85546875" style="47" customWidth="1"/>
    <col min="17" max="17" width="17.7109375" style="47" customWidth="1"/>
    <col min="18" max="18" width="49.5703125" style="47" customWidth="1"/>
    <col min="19" max="19" width="18.28515625" style="47" customWidth="1"/>
    <col min="20" max="20" width="15.28515625" style="47" customWidth="1"/>
    <col min="21" max="21" width="13.7109375" style="47" customWidth="1"/>
    <col min="22" max="22" width="36.5703125" style="47" customWidth="1"/>
    <col min="23" max="23" width="15.140625" style="47" customWidth="1"/>
    <col min="24" max="24" width="14.28515625" style="47" customWidth="1"/>
    <col min="25" max="25" width="12.7109375" style="47" customWidth="1"/>
    <col min="26" max="26" width="39.7109375" style="47" customWidth="1"/>
    <col min="27" max="27" width="43.140625" style="47" customWidth="1"/>
    <col min="28" max="28" width="8.42578125" style="47" customWidth="1"/>
    <col min="29" max="29" width="12" style="47" hidden="1" customWidth="1"/>
    <col min="30" max="30" width="8.85546875" style="47" hidden="1" customWidth="1"/>
    <col min="31" max="31" width="10.85546875" style="47" hidden="1" customWidth="1"/>
    <col min="32" max="32" width="11.85546875" style="47" hidden="1" customWidth="1"/>
    <col min="33" max="16384" width="8.85546875" style="47" hidden="1"/>
  </cols>
  <sheetData>
    <row r="1" spans="1:34" ht="15.75" thickBot="1" x14ac:dyDescent="0.3"/>
    <row r="2" spans="1:34" ht="18.75" customHeight="1" thickBot="1" x14ac:dyDescent="0.3">
      <c r="D2" s="896" t="str">
        <f>IF(Start!$F$12="","",Start!$F$12)</f>
        <v/>
      </c>
      <c r="E2" s="898"/>
      <c r="P2" s="919" t="str">
        <f>IF(OR(COUNTIF($O$11:O256,"*30+*")&gt;0,COUNTIF($S$11:S256,"*30+*")&gt;0),"Note; Habitat selected has a time to target condition greater than 30 years. Non standard agreement may be required.","")</f>
        <v/>
      </c>
      <c r="Q2" s="919"/>
      <c r="R2" s="919"/>
      <c r="S2" s="919"/>
    </row>
    <row r="3" spans="1:34" ht="24" customHeight="1" thickBot="1" x14ac:dyDescent="0.3">
      <c r="D3" s="893" t="str">
        <f ca="1">MID(CELL("filename",D1),FIND("]",CELL("filename",D1))+1,256)</f>
        <v>A-2 Site Habitat Creation</v>
      </c>
      <c r="E3" s="895"/>
      <c r="O3" s="400"/>
      <c r="P3" s="919"/>
      <c r="Q3" s="919"/>
      <c r="R3" s="919"/>
      <c r="S3" s="919"/>
      <c r="W3" s="918"/>
      <c r="X3" s="918"/>
      <c r="Y3" s="918"/>
      <c r="Z3" s="918"/>
    </row>
    <row r="4" spans="1:34" ht="12.6" customHeight="1" x14ac:dyDescent="0.25">
      <c r="O4" s="400"/>
      <c r="P4" s="400"/>
      <c r="Q4" s="400"/>
      <c r="R4" s="400"/>
      <c r="W4" s="918"/>
      <c r="X4" s="918"/>
      <c r="Y4" s="918"/>
      <c r="Z4" s="918"/>
    </row>
    <row r="5" spans="1:34" ht="15.6" customHeight="1" x14ac:dyDescent="0.25">
      <c r="M5" s="244"/>
      <c r="N5" s="234"/>
      <c r="O5" s="400"/>
      <c r="P5" s="920" t="str">
        <f>IFERROR(IF(OR((G259-'A-1 Site Habitat Baseline'!W261)&gt;0.01,(G259-'A-1 Site Habitat Baseline'!W261)&lt;-0.01),"Check Areas - Area cross check failed (Baseline habitat lost does not match development footprint plus area of new habitat creation)",""),"")</f>
        <v/>
      </c>
      <c r="Q5" s="920"/>
      <c r="R5" s="920"/>
      <c r="S5" s="920"/>
      <c r="W5" s="918"/>
      <c r="X5" s="918"/>
      <c r="Y5" s="918"/>
      <c r="Z5" s="918"/>
    </row>
    <row r="6" spans="1:34" ht="19.149999999999999" customHeight="1" x14ac:dyDescent="0.25">
      <c r="O6" s="400"/>
      <c r="P6" s="920"/>
      <c r="Q6" s="920"/>
      <c r="R6" s="920"/>
      <c r="S6" s="920"/>
      <c r="W6" s="918"/>
      <c r="X6" s="918"/>
      <c r="Y6" s="918"/>
      <c r="Z6" s="918"/>
    </row>
    <row r="7" spans="1:34" ht="39" customHeight="1" thickBot="1" x14ac:dyDescent="0.35">
      <c r="E7" s="50"/>
      <c r="P7" s="401"/>
      <c r="Q7" s="401"/>
      <c r="R7" s="401"/>
      <c r="S7" s="397"/>
      <c r="T7" s="397"/>
      <c r="U7" s="397"/>
      <c r="V7" s="397"/>
      <c r="W7" s="397"/>
    </row>
    <row r="8" spans="1:34" ht="15.75" thickBot="1" x14ac:dyDescent="0.3">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07" t="s">
        <v>226</v>
      </c>
    </row>
    <row r="9" spans="1:34" s="49" customFormat="1" ht="15" customHeight="1" thickBot="1" x14ac:dyDescent="0.3">
      <c r="B9" s="47"/>
      <c r="D9" s="912" t="s">
        <v>202</v>
      </c>
      <c r="E9" s="908" t="s">
        <v>227</v>
      </c>
      <c r="F9" s="908" t="s">
        <v>227</v>
      </c>
      <c r="G9" s="910"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7"/>
      <c r="AF9" s="47"/>
      <c r="AG9" s="47"/>
      <c r="AH9" s="47"/>
    </row>
    <row r="10" spans="1:34" ht="42.75" x14ac:dyDescent="0.25">
      <c r="A10" s="55" t="s">
        <v>200</v>
      </c>
      <c r="D10" s="913"/>
      <c r="E10" s="909"/>
      <c r="F10" s="909"/>
      <c r="G10" s="911"/>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7"/>
      <c r="Z10" s="363" t="s">
        <v>215</v>
      </c>
      <c r="AA10" s="365" t="s">
        <v>216</v>
      </c>
      <c r="AE10" s="47" t="s">
        <v>242</v>
      </c>
    </row>
    <row r="11" spans="1:34" ht="28.5" x14ac:dyDescent="0.2">
      <c r="A11" s="47" t="str">
        <f>IFERROR(INDEX('G-8 Condition Look up'!$I$4:$I$130,MATCH(F11,'G-8 Condition Look up'!$A$4:$A$130,0)),"")</f>
        <v>Cond2</v>
      </c>
      <c r="C11" s="382" t="str">
        <f>IFERROR(INDEX('G-1 All Habitats'!$AG$3:$AG$15,MATCH(D11,'G-1 All Habitats'!$AF$3:$AF$15,0)),"")</f>
        <v>Urban</v>
      </c>
      <c r="D11" s="71" t="s">
        <v>74</v>
      </c>
      <c r="E11" s="82" t="s">
        <v>594</v>
      </c>
      <c r="F11" s="378" t="str">
        <f>IFERROR(INDEX('G-1 All Habitats'!$B$3:$B$129,MATCH(E11,'G-1 All Habitats'!$A$3:$A$129,0)),"")</f>
        <v>Urban - Built linear features</v>
      </c>
      <c r="G11" s="70">
        <v>0.22</v>
      </c>
      <c r="H11" s="497" t="str">
        <f>IF(F11="","",VLOOKUP(F11,'G-1 All Habitats'!$B$2:$M$129,10,FALSE))</f>
        <v>V.Low</v>
      </c>
      <c r="I11" s="498">
        <f>IFERROR(VLOOKUP(H11,'G-1 All Habitats'!$V$3:$W$7,2,FALSE),"")</f>
        <v>0</v>
      </c>
      <c r="J11" s="71" t="s">
        <v>407</v>
      </c>
      <c r="K11" s="498">
        <f>IFERROR(INDEX('G-8 Condition Look up'!$A$3:$H$130,MATCH(F11,'G-8 Condition Look up'!$A$3:$A$130,0),MATCH(J11,'G-8 Condition Look up'!$A$3:$H$3,0)),"")</f>
        <v>0</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0</v>
      </c>
      <c r="P11" s="82"/>
      <c r="Q11" s="82"/>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521">
        <f>IFERROR(IF(S11="Check Data ⚠","Check Data ⚠",VLOOKUP(S11,'G-4 Temporal multipliers'!$A$4:$C$37,3,FALSE)),"")</f>
        <v>1</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Low</v>
      </c>
      <c r="X11" s="523">
        <f>IFERROR(IF(E11="","",VLOOKUP(W11, 'G-3 Multipliers'!$P$2:$Q$6,2,FALSE)),"")</f>
        <v>1</v>
      </c>
      <c r="Y11" s="528">
        <f>IFERROR(G11*I11*K11*N11*T11*X11,"")</f>
        <v>0</v>
      </c>
      <c r="Z11" s="238" t="s">
        <v>924</v>
      </c>
      <c r="AA11" s="239"/>
      <c r="AE11" s="54" t="str">
        <f t="shared" ref="AE11:AE74" si="1">IFERROR(INDEX(TemporalData,MATCH(F11,TemporalHabitats,0),MATCH($AE$10,TemporalConditions,0)),"")</f>
        <v>Not Possible</v>
      </c>
    </row>
    <row r="12" spans="1:34" ht="57" x14ac:dyDescent="0.2">
      <c r="A12" s="47" t="str">
        <f>IFERROR(INDEX('G-8 Condition Look up'!$I$4:$I$130,MATCH(F12,'G-8 Condition Look up'!$A$4:$A$130,0)),"")</f>
        <v>Cond2</v>
      </c>
      <c r="C12" s="383" t="str">
        <f>IFERROR(INDEX('G-1 All Habitats'!$AG$3:$AG$15,MATCH(D12,'G-1 All Habitats'!$AF$3:$AF$15,0)),"")</f>
        <v>Urban</v>
      </c>
      <c r="D12" s="146" t="s">
        <v>74</v>
      </c>
      <c r="E12" s="79" t="s">
        <v>599</v>
      </c>
      <c r="F12" s="245" t="str">
        <f>IFERROR(INDEX('G-1 All Habitats'!$B$3:$B$129,MATCH(E12,'G-1 All Habitats'!$A$3:$A$129,0)),"")</f>
        <v>Urban - Developed land; sealed surface</v>
      </c>
      <c r="G12" s="70">
        <v>0.56000000000000005</v>
      </c>
      <c r="H12" s="497" t="str">
        <f>IF(F12="","",VLOOKUP(F12,'G-1 All Habitats'!$B$2:$M$129,10,FALSE))</f>
        <v>V.Low</v>
      </c>
      <c r="I12" s="498">
        <f>IFERROR(VLOOKUP(H12,'G-1 All Habitats'!$V$3:$W$7,2,FALSE),"")</f>
        <v>0</v>
      </c>
      <c r="J12" s="71" t="s">
        <v>407</v>
      </c>
      <c r="K12" s="498">
        <f>IFERROR(INDEX('G-8 Condition Look up'!$A$3:$H$130,MATCH(F12,'G-8 Condition Look up'!$A$3:$A$130,0),MATCH(J12,'G-8 Condition Look up'!$A$3:$H$3,0)),"")</f>
        <v>0</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c r="Q12" s="82"/>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521">
        <f>IFERROR(IF(S12="Check Data ⚠","Check Data ⚠",VLOOKUP(S12,'G-4 Temporal multipliers'!$A$4:$C$37,3,FALSE)),"")</f>
        <v>1</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t="s">
        <v>924</v>
      </c>
      <c r="AA12" s="239"/>
      <c r="AE12" s="54" t="str">
        <f t="shared" si="1"/>
        <v>Not Possible</v>
      </c>
    </row>
    <row r="13" spans="1:34" ht="28.5" x14ac:dyDescent="0.2">
      <c r="A13" s="47" t="str">
        <f>IFERROR(INDEX('G-8 Condition Look up'!$I$4:$I$130,MATCH(F13,'G-8 Condition Look up'!$A$4:$A$130,0)),"")</f>
        <v>Cond4</v>
      </c>
      <c r="C13" s="383" t="str">
        <f>IFERROR(INDEX('G-1 All Habitats'!$AG$3:$AG$15,MATCH(D13,'G-1 All Habitats'!$AF$3:$AF$15,0)),"")</f>
        <v>Urban</v>
      </c>
      <c r="D13" s="146" t="s">
        <v>74</v>
      </c>
      <c r="E13" s="79" t="s">
        <v>627</v>
      </c>
      <c r="F13" s="245" t="str">
        <f>IFERROR(INDEX('G-1 All Habitats'!$B$3:$B$129,MATCH(E13,'G-1 All Habitats'!$A$3:$A$129,0)),"")</f>
        <v>Urban - Urban Tree</v>
      </c>
      <c r="G13" s="70">
        <v>0.16</v>
      </c>
      <c r="H13" s="497" t="str">
        <f>IF(F13="","",VLOOKUP(F13,'G-1 All Habitats'!$B$2:$M$129,10,FALSE))</f>
        <v>Medium</v>
      </c>
      <c r="I13" s="498">
        <f>IFERROR(VLOOKUP(H13,'G-1 All Habitats'!$V$3:$W$7,2,FALSE),"")</f>
        <v>4</v>
      </c>
      <c r="J13" s="71" t="s">
        <v>20</v>
      </c>
      <c r="K13" s="498">
        <f>IFERROR(INDEX('G-8 Condition Look up'!$A$3:$H$130,MATCH(F13,'G-8 Condition Look up'!$A$3:$A$130,0),MATCH(J13,'G-8 Condition Look up'!$A$3:$H$3,0)),"")</f>
        <v>2</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27</v>
      </c>
      <c r="P13" s="82"/>
      <c r="Q13" s="82"/>
      <c r="R13" s="506" t="str">
        <f t="shared" si="2"/>
        <v>Standard time to target condition applied</v>
      </c>
      <c r="S13" s="520">
        <f t="shared" si="3"/>
        <v>27</v>
      </c>
      <c r="T13" s="521">
        <f>IFERROR(IF(S13="Check Data ⚠","Check Data ⚠",VLOOKUP(S13,'G-4 Temporal multipliers'!$A$4:$C$37,3,FALSE)),"")</f>
        <v>0.38215316459999998</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0.489156050688</v>
      </c>
      <c r="Z13" s="238" t="s">
        <v>1560</v>
      </c>
      <c r="AA13" s="239"/>
      <c r="AE13" s="54">
        <f t="shared" si="1"/>
        <v>10</v>
      </c>
    </row>
    <row r="14" spans="1:34" ht="42.75" x14ac:dyDescent="0.2">
      <c r="A14" s="47" t="str">
        <f>IFERROR(INDEX('G-8 Condition Look up'!$I$4:$I$130,MATCH(F14,'G-8 Condition Look up'!$A$4:$A$130,0)),"")</f>
        <v/>
      </c>
      <c r="C14" s="383" t="str">
        <f>IFERROR(INDEX('G-1 All Habitats'!$AG$3:$AG$15,MATCH(D14,'G-1 All Habitats'!$AF$3:$AF$15,0)),"")</f>
        <v/>
      </c>
      <c r="D14" s="146"/>
      <c r="E14" s="79"/>
      <c r="F14" s="245" t="str">
        <f>IFERROR(INDEX('G-1 All Habitats'!$B$3:$B$129,MATCH(E14,'G-1 All Habitats'!$A$3:$A$129,0)),"")</f>
        <v/>
      </c>
      <c r="G14" s="70"/>
      <c r="H14" s="497" t="str">
        <f>IF(F14="","",VLOOKUP(F14,'G-1 All Habitats'!$B$2:$M$129,10,FALSE))</f>
        <v/>
      </c>
      <c r="I14" s="498" t="str">
        <f>IFERROR(VLOOKUP(H14,'G-1 All Habitats'!$V$3:$W$7,2,FALSE),"")</f>
        <v/>
      </c>
      <c r="J14" s="71"/>
      <c r="K14" s="498" t="str">
        <f>IFERROR(INDEX('G-8 Condition Look up'!$A$3:$H$130,MATCH(F14,'G-8 Condition Look up'!$A$3:$A$130,0),MATCH(J14,'G-8 Condition Look up'!$A$3:$H$3,0)),"")</f>
        <v/>
      </c>
      <c r="L14" s="71"/>
      <c r="M14" s="506" t="str">
        <f>IF(L14="","",IF(VLOOKUP(L14,'G-3 Multipliers'!$L$3:$N$6,2,FALSE)=0,"Spatial Data Missing",VLOOKUP(L14,'G-3 Multipliers'!$L$3:$N$6,2,FALSE)))</f>
        <v/>
      </c>
      <c r="N14" s="504" t="str">
        <f>IF(L14="","",IF(VLOOKUP(L14,'G-3 Multipliers'!$L$3:$N$6,3,FALSE)=0,"Spatial Data Missing",VLOOKUP(L14,'G-3 Multipliers'!$L$3:$N$6,3,FALSE)))</f>
        <v/>
      </c>
      <c r="O14" s="497" t="str">
        <f t="shared" si="0"/>
        <v/>
      </c>
      <c r="P14" s="82"/>
      <c r="Q14" s="82"/>
      <c r="R14" s="506" t="str">
        <f t="shared" si="2"/>
        <v/>
      </c>
      <c r="S14" s="520" t="str">
        <f t="shared" si="3"/>
        <v/>
      </c>
      <c r="T14" s="521"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losses",P14&gt;=O14),"Low",VLOOKUP(F14,'G-3 Multipliers'!$A$2:$E$129,4,FALSE))))</f>
        <v/>
      </c>
      <c r="X14" s="523" t="str">
        <f>IFERROR(IF(E14="","",VLOOKUP(W14, 'G-3 Multipliers'!$P$2:$Q$6,2,FALSE)),"")</f>
        <v/>
      </c>
      <c r="Y14" s="528" t="str">
        <f t="shared" si="5"/>
        <v/>
      </c>
      <c r="Z14" s="238"/>
      <c r="AA14" s="239"/>
      <c r="AE14" s="54" t="str">
        <f t="shared" si="1"/>
        <v/>
      </c>
    </row>
    <row r="15" spans="1:34" ht="14.25" x14ac:dyDescent="0.2">
      <c r="A15" s="47" t="str">
        <f>IFERROR(INDEX('G-8 Condition Look up'!$I$4:$I$130,MATCH(F15,'G-8 Condition Look up'!$A$4:$A$130,0)),"")</f>
        <v/>
      </c>
      <c r="C15" s="383" t="str">
        <f>IFERROR(INDEX('G-1 All Habitats'!$AG$3:$AG$15,MATCH(D15,'G-1 All Habitats'!$AF$3:$AF$15,0)),"")</f>
        <v/>
      </c>
      <c r="D15" s="146"/>
      <c r="E15" s="79"/>
      <c r="F15" s="245" t="str">
        <f>IFERROR(INDEX('G-1 All Habitats'!$B$3:$B$129,MATCH(E15,'G-1 All Habitats'!$A$3:$A$129,0)),"")</f>
        <v/>
      </c>
      <c r="G15" s="70"/>
      <c r="H15" s="497" t="str">
        <f>IF(F15="","",VLOOKUP(F15,'G-1 All Habitats'!$B$2:$M$129,10,FALSE))</f>
        <v/>
      </c>
      <c r="I15" s="498" t="str">
        <f>IFERROR(VLOOKUP(H15,'G-1 All Habitats'!$V$3:$W$7,2,FALSE),"")</f>
        <v/>
      </c>
      <c r="J15" s="71"/>
      <c r="K15" s="498" t="str">
        <f>IFERROR(INDEX('G-8 Condition Look up'!$A$3:$H$130,MATCH(F15,'G-8 Condition Look up'!$A$3:$A$130,0),MATCH(J15,'G-8 Condition Look up'!$A$3:$H$3,0)),"")</f>
        <v/>
      </c>
      <c r="L15" s="71"/>
      <c r="M15" s="506" t="str">
        <f>IF(L15="","",IF(VLOOKUP(L15,'G-3 Multipliers'!$L$3:$N$6,2,FALSE)=0,"Spatial Data Missing",VLOOKUP(L15,'G-3 Multipliers'!$L$3:$N$6,2,FALSE)))</f>
        <v/>
      </c>
      <c r="N15" s="504" t="str">
        <f>IF(L15="","",IF(VLOOKUP(L15,'G-3 Multipliers'!$L$3:$N$6,3,FALSE)=0,"Spatial Data Missing",VLOOKUP(L15,'G-3 Multipliers'!$L$3:$N$6,3,FALSE)))</f>
        <v/>
      </c>
      <c r="O15" s="497" t="str">
        <f t="shared" si="0"/>
        <v/>
      </c>
      <c r="P15" s="82"/>
      <c r="Q15" s="82"/>
      <c r="R15" s="506" t="str">
        <f t="shared" si="2"/>
        <v/>
      </c>
      <c r="S15" s="520" t="str">
        <f t="shared" si="3"/>
        <v/>
      </c>
      <c r="T15" s="521"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losses",P15&gt;=O15),"Low",VLOOKUP(F15,'G-3 Multipliers'!$A$2:$E$129,4,FALSE))))</f>
        <v/>
      </c>
      <c r="X15" s="523" t="str">
        <f>IFERROR(IF(E15="","",VLOOKUP(W15, 'G-3 Multipliers'!$P$2:$Q$6,2,FALSE)),"")</f>
        <v/>
      </c>
      <c r="Y15" s="528" t="str">
        <f t="shared" si="5"/>
        <v/>
      </c>
      <c r="Z15" s="238"/>
      <c r="AA15" s="239"/>
      <c r="AE15" s="54" t="str">
        <f t="shared" si="1"/>
        <v/>
      </c>
    </row>
    <row r="16" spans="1:34" x14ac:dyDescent="0.25">
      <c r="A16" s="47" t="str">
        <f>IFERROR(INDEX('G-8 Condition Look up'!$I$4:$I$130,MATCH(F16,'G-8 Condition Look up'!$A$4:$A$130,0)),"")</f>
        <v/>
      </c>
      <c r="C16" s="383" t="str">
        <f>IFERROR(INDEX('G-1 All Habitats'!$AG$3:$AG$15,MATCH(D16,'G-1 All Habitats'!$AF$3:$AF$15,0)),"")</f>
        <v/>
      </c>
      <c r="D16" s="146"/>
      <c r="E16" s="79"/>
      <c r="F16" s="245" t="str">
        <f>IFERROR(INDEX('G-1 All Habitats'!$B$3:$B$129,MATCH(E16,'G-1 All Habitats'!$A$3:$A$129,0)),"")</f>
        <v/>
      </c>
      <c r="G16" s="70"/>
      <c r="H16" s="497" t="str">
        <f>IF(F16="","",VLOOKUP(F16,'G-1 All Habitats'!$B$2:$M$129,10,FALSE))</f>
        <v/>
      </c>
      <c r="I16" s="498" t="str">
        <f>IFERROR(VLOOKUP(H16,'G-1 All Habitats'!$V$3:$W$7,2,FALSE),"")</f>
        <v/>
      </c>
      <c r="J16" s="71"/>
      <c r="K16" s="498" t="str">
        <f>IFERROR(INDEX('G-8 Condition Look up'!$A$3:$H$130,MATCH(F16,'G-8 Condition Look up'!$A$3:$A$130,0),MATCH(J16,'G-8 Condition Look up'!$A$3:$H$3,0)),"")</f>
        <v/>
      </c>
      <c r="L16" s="71"/>
      <c r="M16" s="506" t="str">
        <f>IF(L16="","",IF(VLOOKUP(L16,'G-3 Multipliers'!$L$3:$N$6,2,FALSE)=0,"Spatial Data Missing",VLOOKUP(L16,'G-3 Multipliers'!$L$3:$N$6,2,FALSE)))</f>
        <v/>
      </c>
      <c r="N16" s="504" t="str">
        <f>IF(L16="","",IF(VLOOKUP(L16,'G-3 Multipliers'!$L$3:$N$6,3,FALSE)=0,"Spatial Data Missing",VLOOKUP(L16,'G-3 Multipliers'!$L$3:$N$6,3,FALSE)))</f>
        <v/>
      </c>
      <c r="O16" s="497" t="str">
        <f t="shared" si="0"/>
        <v/>
      </c>
      <c r="P16" s="82"/>
      <c r="Q16" s="82"/>
      <c r="R16" s="506" t="str">
        <f t="shared" si="2"/>
        <v/>
      </c>
      <c r="S16" s="520" t="str">
        <f t="shared" si="3"/>
        <v/>
      </c>
      <c r="T16" s="521"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losses",P16&gt;=O16),"Low",VLOOKUP(F16,'G-3 Multipliers'!$A$2:$E$129,4,FALSE))))</f>
        <v/>
      </c>
      <c r="X16" s="523" t="str">
        <f>IFERROR(IF(E16="","",VLOOKUP(W16, 'G-3 Multipliers'!$P$2:$Q$6,2,FALSE)),"")</f>
        <v/>
      </c>
      <c r="Y16" s="528" t="str">
        <f t="shared" si="5"/>
        <v/>
      </c>
      <c r="Z16" s="238"/>
      <c r="AA16" s="239"/>
      <c r="AE16" s="54" t="str">
        <f t="shared" si="1"/>
        <v/>
      </c>
    </row>
    <row r="17" spans="1:31" x14ac:dyDescent="0.25">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25">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2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x14ac:dyDescent="0.25">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25">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25">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25">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x14ac:dyDescent="0.25">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x14ac:dyDescent="0.25">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x14ac:dyDescent="0.25">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x14ac:dyDescent="0.25">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x14ac:dyDescent="0.25">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x14ac:dyDescent="0.25">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x14ac:dyDescent="0.25">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x14ac:dyDescent="0.25">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x14ac:dyDescent="0.25">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x14ac:dyDescent="0.25">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x14ac:dyDescent="0.25">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x14ac:dyDescent="0.25">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x14ac:dyDescent="0.25">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x14ac:dyDescent="0.25">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x14ac:dyDescent="0.25">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x14ac:dyDescent="0.25">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x14ac:dyDescent="0.25">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x14ac:dyDescent="0.25">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x14ac:dyDescent="0.25">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x14ac:dyDescent="0.25">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x14ac:dyDescent="0.25">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x14ac:dyDescent="0.25">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x14ac:dyDescent="0.25">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x14ac:dyDescent="0.25">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x14ac:dyDescent="0.25">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x14ac:dyDescent="0.25">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x14ac:dyDescent="0.25">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x14ac:dyDescent="0.25">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x14ac:dyDescent="0.25">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x14ac:dyDescent="0.25">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x14ac:dyDescent="0.25">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x14ac:dyDescent="0.25">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x14ac:dyDescent="0.25">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x14ac:dyDescent="0.25">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x14ac:dyDescent="0.25">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x14ac:dyDescent="0.25">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x14ac:dyDescent="0.25">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x14ac:dyDescent="0.25">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x14ac:dyDescent="0.25">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x14ac:dyDescent="0.25">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x14ac:dyDescent="0.25">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x14ac:dyDescent="0.25">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x14ac:dyDescent="0.25">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x14ac:dyDescent="0.25">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x14ac:dyDescent="0.25">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x14ac:dyDescent="0.25">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x14ac:dyDescent="0.25">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x14ac:dyDescent="0.25">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x14ac:dyDescent="0.25">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x14ac:dyDescent="0.25">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x14ac:dyDescent="0.25">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x14ac:dyDescent="0.25">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x14ac:dyDescent="0.25">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x14ac:dyDescent="0.25">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x14ac:dyDescent="0.25">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x14ac:dyDescent="0.25">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x14ac:dyDescent="0.25">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x14ac:dyDescent="0.25">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x14ac:dyDescent="0.25">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x14ac:dyDescent="0.25">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x14ac:dyDescent="0.25">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x14ac:dyDescent="0.25">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x14ac:dyDescent="0.25">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x14ac:dyDescent="0.25">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x14ac:dyDescent="0.25">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x14ac:dyDescent="0.25">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x14ac:dyDescent="0.25">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x14ac:dyDescent="0.25">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x14ac:dyDescent="0.25">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x14ac:dyDescent="0.25">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x14ac:dyDescent="0.25">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x14ac:dyDescent="0.25">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x14ac:dyDescent="0.25">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x14ac:dyDescent="0.25">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x14ac:dyDescent="0.25">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x14ac:dyDescent="0.25">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x14ac:dyDescent="0.25">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x14ac:dyDescent="0.25">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x14ac:dyDescent="0.25">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x14ac:dyDescent="0.25">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x14ac:dyDescent="0.25">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x14ac:dyDescent="0.25">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x14ac:dyDescent="0.25">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x14ac:dyDescent="0.25">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x14ac:dyDescent="0.25">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x14ac:dyDescent="0.25">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x14ac:dyDescent="0.25">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x14ac:dyDescent="0.25">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x14ac:dyDescent="0.25">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x14ac:dyDescent="0.25">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x14ac:dyDescent="0.25">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x14ac:dyDescent="0.25">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x14ac:dyDescent="0.25">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x14ac:dyDescent="0.25">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x14ac:dyDescent="0.25">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x14ac:dyDescent="0.25">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x14ac:dyDescent="0.25">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x14ac:dyDescent="0.25">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x14ac:dyDescent="0.25">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x14ac:dyDescent="0.25">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x14ac:dyDescent="0.25">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x14ac:dyDescent="0.25">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x14ac:dyDescent="0.25">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x14ac:dyDescent="0.25">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x14ac:dyDescent="0.25">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x14ac:dyDescent="0.25">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x14ac:dyDescent="0.25">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x14ac:dyDescent="0.25">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x14ac:dyDescent="0.25">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x14ac:dyDescent="0.25">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x14ac:dyDescent="0.25">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x14ac:dyDescent="0.25">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x14ac:dyDescent="0.25">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x14ac:dyDescent="0.25">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x14ac:dyDescent="0.25">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x14ac:dyDescent="0.25">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x14ac:dyDescent="0.25">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x14ac:dyDescent="0.25">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x14ac:dyDescent="0.25">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x14ac:dyDescent="0.25">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x14ac:dyDescent="0.25">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x14ac:dyDescent="0.25">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x14ac:dyDescent="0.25">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x14ac:dyDescent="0.25">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x14ac:dyDescent="0.25">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x14ac:dyDescent="0.25">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x14ac:dyDescent="0.25">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x14ac:dyDescent="0.25">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x14ac:dyDescent="0.25">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x14ac:dyDescent="0.25">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x14ac:dyDescent="0.25">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x14ac:dyDescent="0.25">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x14ac:dyDescent="0.25">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x14ac:dyDescent="0.25">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x14ac:dyDescent="0.25">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x14ac:dyDescent="0.25">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x14ac:dyDescent="0.25">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x14ac:dyDescent="0.25">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x14ac:dyDescent="0.25">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x14ac:dyDescent="0.25">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x14ac:dyDescent="0.25">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x14ac:dyDescent="0.25">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x14ac:dyDescent="0.25">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x14ac:dyDescent="0.25">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x14ac:dyDescent="0.25">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x14ac:dyDescent="0.25">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x14ac:dyDescent="0.25">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x14ac:dyDescent="0.25">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x14ac:dyDescent="0.25">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x14ac:dyDescent="0.25">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x14ac:dyDescent="0.25">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x14ac:dyDescent="0.25">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x14ac:dyDescent="0.25">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x14ac:dyDescent="0.25">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x14ac:dyDescent="0.25">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x14ac:dyDescent="0.25">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x14ac:dyDescent="0.25">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x14ac:dyDescent="0.25">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x14ac:dyDescent="0.25">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x14ac:dyDescent="0.25">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x14ac:dyDescent="0.25">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x14ac:dyDescent="0.25">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x14ac:dyDescent="0.25">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x14ac:dyDescent="0.25">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x14ac:dyDescent="0.25">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x14ac:dyDescent="0.25">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x14ac:dyDescent="0.25">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x14ac:dyDescent="0.25">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x14ac:dyDescent="0.25">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x14ac:dyDescent="0.25">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x14ac:dyDescent="0.25">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x14ac:dyDescent="0.25">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x14ac:dyDescent="0.25">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x14ac:dyDescent="0.25">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x14ac:dyDescent="0.25">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x14ac:dyDescent="0.25">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x14ac:dyDescent="0.25">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x14ac:dyDescent="0.25">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x14ac:dyDescent="0.25">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x14ac:dyDescent="0.25">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x14ac:dyDescent="0.25">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x14ac:dyDescent="0.25">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x14ac:dyDescent="0.25">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x14ac:dyDescent="0.25">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x14ac:dyDescent="0.25">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x14ac:dyDescent="0.25">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x14ac:dyDescent="0.25">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x14ac:dyDescent="0.25">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x14ac:dyDescent="0.25">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x14ac:dyDescent="0.25">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x14ac:dyDescent="0.25">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x14ac:dyDescent="0.25">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x14ac:dyDescent="0.25">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x14ac:dyDescent="0.25">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x14ac:dyDescent="0.25">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x14ac:dyDescent="0.25">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x14ac:dyDescent="0.25">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x14ac:dyDescent="0.25">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x14ac:dyDescent="0.25">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x14ac:dyDescent="0.25">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x14ac:dyDescent="0.25">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x14ac:dyDescent="0.25">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x14ac:dyDescent="0.25">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x14ac:dyDescent="0.25">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x14ac:dyDescent="0.25">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x14ac:dyDescent="0.25">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x14ac:dyDescent="0.25">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x14ac:dyDescent="0.25">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x14ac:dyDescent="0.25">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x14ac:dyDescent="0.25">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x14ac:dyDescent="0.25">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x14ac:dyDescent="0.25">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x14ac:dyDescent="0.25">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x14ac:dyDescent="0.25">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x14ac:dyDescent="0.25">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x14ac:dyDescent="0.25">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x14ac:dyDescent="0.25">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x14ac:dyDescent="0.25">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x14ac:dyDescent="0.25">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x14ac:dyDescent="0.25">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x14ac:dyDescent="0.25">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x14ac:dyDescent="0.25">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x14ac:dyDescent="0.25">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x14ac:dyDescent="0.25">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x14ac:dyDescent="0.25">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x14ac:dyDescent="0.25">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x14ac:dyDescent="0.25">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x14ac:dyDescent="0.25">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x14ac:dyDescent="0.25">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x14ac:dyDescent="0.25">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x14ac:dyDescent="0.25">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x14ac:dyDescent="0.25">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5.75" thickBot="1" x14ac:dyDescent="0.3">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5.75" thickBot="1" x14ac:dyDescent="0.3">
      <c r="E257" s="178" t="s">
        <v>243</v>
      </c>
      <c r="F257" s="339" t="s">
        <v>244</v>
      </c>
      <c r="G257" s="518">
        <f>SUM(G11:G256)</f>
        <v>0.94000000000000006</v>
      </c>
      <c r="T257" s="86"/>
      <c r="U257" s="86"/>
      <c r="V257" s="86"/>
      <c r="W257" s="86"/>
      <c r="X257" s="173" t="s">
        <v>245</v>
      </c>
      <c r="Y257" s="518">
        <f>SUM(Y11:Y256)</f>
        <v>0.489156050688</v>
      </c>
    </row>
    <row r="258" spans="5:25" ht="15.75" thickBot="1" x14ac:dyDescent="0.3">
      <c r="E258" s="47"/>
    </row>
    <row r="259" spans="5:25" ht="15.75" thickBot="1" x14ac:dyDescent="0.3">
      <c r="E259" s="501" t="s">
        <v>246</v>
      </c>
      <c r="G259" s="518">
        <f>IF('Detailed Results'!$K$40&gt;0,"Error",SUMIFS($G$11:$G$256,$F$11:$F$256,"&lt;&gt;"&amp;'G-1 All Habitats'!B73,$F$11:$F$256,"&lt;&gt;"&amp;'G-1 All Habitats'!B65,$F$11:$F$256,"&lt;&gt;"&amp;'G-1 All Habitats'!B66))</f>
        <v>0.78</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sheetView>
  </sheetViews>
  <sheetFormatPr defaultColWidth="8.85546875" defaultRowHeight="15" zeroHeight="1" x14ac:dyDescent="0.25"/>
  <cols>
    <col min="1" max="1" width="19.5703125" style="47" hidden="1" customWidth="1"/>
    <col min="2" max="2" width="19" style="47" hidden="1" customWidth="1"/>
    <col min="3" max="3" width="11" style="47" hidden="1" customWidth="1"/>
    <col min="4" max="4" width="2.85546875" style="47" customWidth="1"/>
    <col min="5" max="5" width="11.28515625" style="47" customWidth="1"/>
    <col min="6" max="6" width="57.7109375" style="47" customWidth="1"/>
    <col min="7" max="7" width="13.140625" style="47" customWidth="1"/>
    <col min="8" max="9" width="17.85546875" style="47" customWidth="1"/>
    <col min="10" max="10" width="18.140625" style="47" customWidth="1"/>
    <col min="11" max="12" width="19.28515625" style="47" customWidth="1"/>
    <col min="13" max="13" width="20.28515625" style="47" customWidth="1"/>
    <col min="14" max="14" width="19.28515625" style="47" customWidth="1"/>
    <col min="15" max="15" width="34" style="47" customWidth="1"/>
    <col min="16" max="16" width="34" style="47" hidden="1" customWidth="1"/>
    <col min="17" max="17" width="34" style="47" customWidth="1"/>
    <col min="18" max="18" width="73" style="47" customWidth="1"/>
    <col min="19" max="19" width="61.28515625" style="47" hidden="1" customWidth="1"/>
    <col min="20" max="21" width="34.28515625" style="47" customWidth="1"/>
    <col min="22" max="22" width="12.140625" style="47" customWidth="1"/>
    <col min="23" max="23" width="18.42578125" style="47" customWidth="1"/>
    <col min="24" max="24" width="13.140625" style="47" customWidth="1"/>
    <col min="25" max="25" width="12.7109375" style="47" customWidth="1"/>
    <col min="26" max="26" width="12.5703125" style="47" customWidth="1"/>
    <col min="27" max="27" width="41.7109375" style="47" customWidth="1"/>
    <col min="28" max="28" width="15.42578125" style="47" customWidth="1"/>
    <col min="29" max="29" width="12.28515625" style="47" customWidth="1"/>
    <col min="30" max="30" width="18.140625" style="47" customWidth="1"/>
    <col min="31" max="31" width="20.85546875" style="47" customWidth="1"/>
    <col min="32" max="32" width="22.7109375" style="47" customWidth="1"/>
    <col min="33" max="33" width="33.28515625" style="47" customWidth="1"/>
    <col min="34" max="34" width="17.7109375" style="47" customWidth="1"/>
    <col min="35" max="35" width="15.28515625" style="47" customWidth="1"/>
    <col min="36" max="36" width="15.7109375" style="47" customWidth="1"/>
    <col min="37" max="37" width="29.42578125" style="47" customWidth="1"/>
    <col min="38" max="38" width="17.140625" style="47" customWidth="1"/>
    <col min="39" max="39" width="14.5703125" style="47" customWidth="1"/>
    <col min="40" max="40" width="12.7109375" style="47" customWidth="1"/>
    <col min="41" max="41" width="40.28515625" style="47" customWidth="1"/>
    <col min="42" max="42" width="42.28515625" style="47" customWidth="1"/>
    <col min="43" max="55" width="8.85546875" style="47" customWidth="1"/>
    <col min="56" max="16384" width="8.85546875" style="47"/>
  </cols>
  <sheetData>
    <row r="1" spans="1:42" ht="15.75" thickBot="1" x14ac:dyDescent="0.3"/>
    <row r="2" spans="1:42" ht="19.5" customHeight="1" thickBot="1" x14ac:dyDescent="0.3">
      <c r="E2" s="922" t="str">
        <f>IF(Start!$F$12="","",Start!$F$12)</f>
        <v/>
      </c>
      <c r="F2" s="923"/>
      <c r="G2" s="924"/>
      <c r="AD2" s="929" t="str">
        <f>IF(OR(COUNTIF($AD$12:AD257,"*30+*")&gt;0,COUNTIF(AH12:AH257,"*30+*")&gt;0),"Note; Habitat selected has a time to target condition greater than 30 years. Non standard agreement may be required.","")</f>
        <v/>
      </c>
      <c r="AE2" s="929"/>
      <c r="AF2" s="929"/>
      <c r="AG2" s="929"/>
      <c r="AH2" s="929"/>
      <c r="AI2" s="929"/>
    </row>
    <row r="3" spans="1:42" ht="13.15" customHeight="1" x14ac:dyDescent="0.25">
      <c r="E3" s="890" t="str">
        <f ca="1">MID(CELL("filename",D1),FIND("]",CELL("filename",D1))+1,256)</f>
        <v>A-3 Site Habitat Enhancement</v>
      </c>
      <c r="F3" s="891"/>
      <c r="G3" s="892"/>
      <c r="AD3" s="929"/>
      <c r="AE3" s="929"/>
      <c r="AF3" s="929"/>
      <c r="AG3" s="929"/>
      <c r="AH3" s="929"/>
      <c r="AI3" s="929"/>
    </row>
    <row r="4" spans="1:42" ht="15.75" customHeight="1" thickBot="1" x14ac:dyDescent="0.3">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25">
      <c r="AD5" s="929" t="str">
        <f>IF(Q12&lt;&gt;A12,"Change in broad habitat type detected. Check compliance with guidance.","")</f>
        <v/>
      </c>
      <c r="AE5" s="929"/>
      <c r="AF5" s="929"/>
      <c r="AG5" s="929"/>
      <c r="AH5" s="929"/>
      <c r="AI5" s="929"/>
    </row>
    <row r="6" spans="1:42" ht="15.75" customHeight="1" x14ac:dyDescent="0.25">
      <c r="AD6" s="929"/>
      <c r="AE6" s="929"/>
      <c r="AF6" s="929"/>
      <c r="AG6" s="929"/>
      <c r="AH6" s="929"/>
      <c r="AI6" s="929"/>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15" customHeight="1" thickBot="1" x14ac:dyDescent="0.3">
      <c r="F10" s="914" t="s">
        <v>247</v>
      </c>
      <c r="G10" s="915"/>
      <c r="H10" s="915"/>
      <c r="I10" s="915"/>
      <c r="J10" s="915"/>
      <c r="K10" s="915"/>
      <c r="L10" s="915"/>
      <c r="M10" s="915"/>
      <c r="N10" s="915"/>
      <c r="O10" s="916"/>
      <c r="P10" s="235"/>
      <c r="Q10" s="925" t="s">
        <v>248</v>
      </c>
      <c r="R10" s="926"/>
      <c r="S10" s="395"/>
      <c r="T10" s="927" t="s">
        <v>249</v>
      </c>
      <c r="U10" s="928"/>
      <c r="V10" s="931" t="s">
        <v>250</v>
      </c>
      <c r="W10" s="936" t="s">
        <v>189</v>
      </c>
      <c r="X10" s="936" t="s">
        <v>206</v>
      </c>
      <c r="Y10" s="936" t="s">
        <v>190</v>
      </c>
      <c r="Z10" s="934" t="s">
        <v>206</v>
      </c>
      <c r="AA10" s="930" t="s">
        <v>191</v>
      </c>
      <c r="AB10" s="927"/>
      <c r="AC10" s="928"/>
      <c r="AD10" s="902" t="s">
        <v>251</v>
      </c>
      <c r="AE10" s="904"/>
      <c r="AF10" s="904"/>
      <c r="AG10" s="904"/>
      <c r="AH10" s="904"/>
      <c r="AI10" s="903"/>
      <c r="AJ10" s="902" t="s">
        <v>252</v>
      </c>
      <c r="AK10" s="904"/>
      <c r="AL10" s="904"/>
      <c r="AM10" s="904"/>
      <c r="AN10" s="905" t="s">
        <v>230</v>
      </c>
      <c r="AO10" s="930" t="s">
        <v>196</v>
      </c>
      <c r="AP10" s="928"/>
    </row>
    <row r="11" spans="1:42" s="49" customFormat="1" ht="43.5" thickBot="1" x14ac:dyDescent="0.3">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32"/>
      <c r="W11" s="937"/>
      <c r="X11" s="937"/>
      <c r="Y11" s="937"/>
      <c r="Z11" s="935"/>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33"/>
      <c r="AO11" s="363" t="s">
        <v>215</v>
      </c>
      <c r="AP11" s="365"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5.75"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5.75" thickBot="1" x14ac:dyDescent="0.3">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8.75" x14ac:dyDescent="0.3">
      <c r="V259" s="921" t="str">
        <f>IF(V258&lt;&gt;'A-1 Site Habitat Baseline'!T259,"Error - Area of habitat enhancement must match the area from sheet A1 ▲","")</f>
        <v/>
      </c>
      <c r="W259" s="921"/>
      <c r="X259" s="921"/>
      <c r="Y259" s="921"/>
      <c r="Z259" s="921"/>
      <c r="AA259" s="921"/>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5" zeroHeight="1" x14ac:dyDescent="0.25"/>
  <cols>
    <col min="1" max="1" width="3.7109375" style="31" hidden="1" customWidth="1"/>
    <col min="2" max="2" width="24.42578125" style="31" hidden="1" customWidth="1"/>
    <col min="3" max="3" width="39.28515625" style="31" hidden="1" customWidth="1"/>
    <col min="4" max="4" width="10.42578125" style="31" customWidth="1"/>
    <col min="5" max="5" width="22.140625" style="31" customWidth="1"/>
    <col min="6" max="6" width="70.140625" style="31" customWidth="1"/>
    <col min="7" max="7" width="76.85546875" style="31" hidden="1" customWidth="1"/>
    <col min="8" max="8" width="12.140625" style="31" customWidth="1"/>
    <col min="9" max="9" width="17.7109375" style="31" customWidth="1"/>
    <col min="10" max="10" width="7.85546875" style="31" customWidth="1"/>
    <col min="11" max="11" width="14.28515625" style="31" customWidth="1"/>
    <col min="12" max="12" width="9.7109375" style="31" customWidth="1"/>
    <col min="13" max="13" width="41.7109375" style="31" customWidth="1"/>
    <col min="14" max="14" width="20.42578125" style="31" customWidth="1"/>
    <col min="15" max="15" width="13.140625" style="31" customWidth="1"/>
    <col min="16" max="16" width="30.42578125" style="31" customWidth="1"/>
    <col min="17" max="17" width="13.42578125" style="31" customWidth="1"/>
    <col min="18" max="18" width="3.7109375" style="31" customWidth="1"/>
    <col min="19" max="19" width="11.5703125" style="31" customWidth="1"/>
    <col min="20" max="20" width="12.140625" style="31" customWidth="1"/>
    <col min="21" max="21" width="10.140625" style="31" customWidth="1"/>
    <col min="22" max="22" width="13" style="31" customWidth="1"/>
    <col min="23" max="23" width="13.140625" style="31" customWidth="1"/>
    <col min="24" max="24" width="15.5703125" style="31" customWidth="1"/>
    <col min="25" max="25" width="16.85546875" style="31" customWidth="1"/>
    <col min="26" max="27" width="50.140625" style="31" customWidth="1"/>
    <col min="28" max="28" width="8.85546875" style="31" customWidth="1"/>
    <col min="29" max="31" width="8.85546875" style="31" hidden="1" customWidth="1"/>
    <col min="32" max="32" width="14.28515625" style="31" hidden="1" customWidth="1"/>
    <col min="33" max="16384" width="8.85546875" style="31" hidden="1"/>
  </cols>
  <sheetData>
    <row r="1" spans="1:43" ht="12.75" customHeight="1" thickBot="1" x14ac:dyDescent="0.3"/>
    <row r="2" spans="1:43" ht="19.5" customHeight="1" thickBot="1" x14ac:dyDescent="0.3">
      <c r="D2" s="946" t="str">
        <f>IF(Start!F12="","",Start!F12)</f>
        <v/>
      </c>
      <c r="E2" s="947"/>
      <c r="F2" s="948"/>
    </row>
    <row r="3" spans="1:43" ht="15" customHeight="1" x14ac:dyDescent="0.25">
      <c r="D3" s="940" t="str">
        <f ca="1">MID(CELL("filename",C1),FIND("]",CELL("filename",C1))+1,256)</f>
        <v>D-1 Off Site Habitat Baseline</v>
      </c>
      <c r="E3" s="941"/>
      <c r="F3" s="942"/>
    </row>
    <row r="4" spans="1:43" ht="19.899999999999999" customHeight="1" thickBot="1" x14ac:dyDescent="0.3">
      <c r="D4" s="943"/>
      <c r="E4" s="944"/>
      <c r="F4" s="945"/>
    </row>
    <row r="5" spans="1:43" ht="24" customHeight="1" x14ac:dyDescent="0.25"/>
    <row r="6" spans="1:43" ht="15.75" customHeight="1" x14ac:dyDescent="0.25"/>
    <row r="7" spans="1:43" ht="16.149999999999999" customHeight="1" x14ac:dyDescent="0.25">
      <c r="D7" s="132"/>
      <c r="E7" s="132"/>
      <c r="F7" s="132"/>
      <c r="M7" s="131"/>
    </row>
    <row r="8" spans="1:43" ht="22.9" customHeight="1" thickBot="1" x14ac:dyDescent="0.3">
      <c r="D8" s="132"/>
      <c r="E8" s="132"/>
      <c r="F8" s="132"/>
    </row>
    <row r="9" spans="1:43" s="42" customFormat="1" ht="30" customHeight="1" thickBot="1" x14ac:dyDescent="0.3">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39"/>
      <c r="Q10" s="167" t="s">
        <v>208</v>
      </c>
      <c r="R10" s="138"/>
      <c r="S10" s="135" t="s">
        <v>209</v>
      </c>
      <c r="T10" s="136" t="s">
        <v>210</v>
      </c>
      <c r="U10" s="136" t="s">
        <v>211</v>
      </c>
      <c r="V10" s="136" t="s">
        <v>212</v>
      </c>
      <c r="W10" s="136" t="s">
        <v>276</v>
      </c>
      <c r="X10" s="137" t="s">
        <v>214</v>
      </c>
      <c r="Y10" s="939"/>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5.75" thickBot="1" x14ac:dyDescent="0.3">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5.75" thickBot="1" x14ac:dyDescent="0.3">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5.75" thickBot="1" x14ac:dyDescent="0.3">
      <c r="R260" s="166"/>
      <c r="S260" s="166"/>
      <c r="T260" s="166"/>
      <c r="U260" s="166"/>
      <c r="V260" s="166"/>
      <c r="W260" s="166"/>
      <c r="X260" s="166"/>
    </row>
    <row r="261" spans="1:43" ht="35.25" customHeight="1" thickBot="1" x14ac:dyDescent="0.3">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25"/>
  <cols>
    <col min="1" max="1" width="18" style="31" hidden="1" customWidth="1"/>
    <col min="2" max="2" width="2.42578125" style="31" hidden="1" customWidth="1"/>
    <col min="3" max="3" width="23.42578125" style="31" hidden="1" customWidth="1"/>
    <col min="4" max="4" width="22.5703125" style="31" bestFit="1" customWidth="1"/>
    <col min="5" max="5" width="71" style="31" customWidth="1"/>
    <col min="6" max="6" width="74.140625" style="31" hidden="1" customWidth="1"/>
    <col min="7" max="7" width="13.140625" style="31" customWidth="1"/>
    <col min="8" max="8" width="18" style="31" customWidth="1"/>
    <col min="9" max="9" width="13.140625" style="31" customWidth="1"/>
    <col min="10" max="11" width="12.5703125" style="31" customWidth="1"/>
    <col min="12" max="12" width="41.28515625" style="31" customWidth="1"/>
    <col min="13" max="13" width="15.42578125" style="31" customWidth="1"/>
    <col min="14" max="14" width="12.28515625" style="31" customWidth="1"/>
    <col min="15" max="17" width="17.7109375" style="31" customWidth="1"/>
    <col min="18" max="18" width="31.140625" style="31" customWidth="1"/>
    <col min="19" max="19" width="17.7109375" style="31" customWidth="1"/>
    <col min="20" max="20" width="15.28515625" style="31" customWidth="1"/>
    <col min="21" max="21" width="13.7109375" style="31" customWidth="1"/>
    <col min="22" max="22" width="35.28515625" style="31" customWidth="1"/>
    <col min="23" max="23" width="13.7109375" style="31" customWidth="1"/>
    <col min="24" max="24" width="14.28515625" style="31" customWidth="1"/>
    <col min="25" max="25" width="91.42578125" style="31" customWidth="1"/>
    <col min="26" max="26" width="14.28515625" style="31" customWidth="1"/>
    <col min="27" max="27" width="12.7109375" style="31" customWidth="1"/>
    <col min="28" max="29" width="34.85546875" style="31" customWidth="1"/>
    <col min="30" max="30" width="12.42578125" style="31" customWidth="1"/>
    <col min="31" max="31" width="11.5703125" style="31" hidden="1" customWidth="1"/>
    <col min="32" max="32" width="11.28515625" style="31" hidden="1" customWidth="1"/>
    <col min="33" max="33" width="14.5703125" style="31" hidden="1" customWidth="1"/>
    <col min="34" max="35" width="8.85546875" style="31" hidden="1" customWidth="1"/>
    <col min="36" max="16384" width="0" style="31" hidden="1"/>
  </cols>
  <sheetData>
    <row r="1" spans="1:29" ht="15.75" thickBot="1" x14ac:dyDescent="0.3"/>
    <row r="2" spans="1:29" ht="25.9" customHeight="1" thickBot="1" x14ac:dyDescent="0.3">
      <c r="D2" s="946" t="str">
        <f>IF(Start!F12="","",Start!F12)</f>
        <v/>
      </c>
      <c r="E2" s="947"/>
      <c r="G2" s="241"/>
      <c r="O2" s="919" t="str">
        <f>IF(OR(COUNTIF($O$11:O256,"*30+*")&gt;0,COUNTIF($S$11:S256,"*30+*")&gt;0),"Note; Habitat selected has a time to target condition greater than 30 years. Non standard agreement may be required. ⚠","")</f>
        <v/>
      </c>
      <c r="P2" s="919"/>
      <c r="Q2" s="919"/>
      <c r="R2" s="919"/>
      <c r="S2" s="919"/>
      <c r="T2" s="919"/>
    </row>
    <row r="3" spans="1:29" ht="19.899999999999999" customHeight="1" x14ac:dyDescent="0.25">
      <c r="D3" s="940" t="str">
        <f ca="1">MID(CELL("filename",C1),FIND("]",CELL("filename",C1))+1,256)</f>
        <v>D-2 Off Site Habitat Creation</v>
      </c>
      <c r="E3" s="941"/>
      <c r="G3" s="241"/>
      <c r="O3" s="919"/>
      <c r="P3" s="919"/>
      <c r="Q3" s="919"/>
      <c r="R3" s="919"/>
      <c r="S3" s="919"/>
      <c r="T3" s="919"/>
    </row>
    <row r="4" spans="1:29" ht="15.75" customHeight="1" thickBot="1" x14ac:dyDescent="0.3">
      <c r="D4" s="943"/>
      <c r="E4" s="944"/>
      <c r="G4" s="241"/>
      <c r="M4" s="131"/>
      <c r="O4" s="398"/>
      <c r="P4" s="398"/>
      <c r="Q4" s="398"/>
      <c r="R4" s="398"/>
      <c r="S4" s="398"/>
    </row>
    <row r="5" spans="1:29" ht="29.45" customHeight="1" x14ac:dyDescent="0.3">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399"/>
      <c r="V5" s="399"/>
    </row>
    <row r="6" spans="1:29" ht="31.15" customHeight="1" x14ac:dyDescent="0.25">
      <c r="O6" s="919"/>
      <c r="P6" s="919"/>
      <c r="Q6" s="919"/>
      <c r="R6" s="919"/>
      <c r="S6" s="919"/>
      <c r="T6" s="919"/>
    </row>
    <row r="7" spans="1:29" ht="15.75" thickBot="1" x14ac:dyDescent="0.3"/>
    <row r="8" spans="1:29" ht="15.75" thickBot="1" x14ac:dyDescent="0.3">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x14ac:dyDescent="0.3">
      <c r="B9" s="31"/>
      <c r="C9" s="31"/>
      <c r="D9" s="879" t="s">
        <v>202</v>
      </c>
      <c r="E9" s="881" t="s">
        <v>227</v>
      </c>
      <c r="F9" s="881" t="s">
        <v>227</v>
      </c>
      <c r="G9" s="953" t="s">
        <v>205</v>
      </c>
      <c r="H9" s="879" t="s">
        <v>189</v>
      </c>
      <c r="I9" s="877" t="s">
        <v>206</v>
      </c>
      <c r="J9" s="955" t="s">
        <v>190</v>
      </c>
      <c r="K9" s="877" t="s">
        <v>206</v>
      </c>
      <c r="L9" s="939" t="s">
        <v>191</v>
      </c>
      <c r="M9" s="939"/>
      <c r="N9" s="939"/>
      <c r="O9" s="939" t="s">
        <v>251</v>
      </c>
      <c r="P9" s="939"/>
      <c r="Q9" s="939"/>
      <c r="R9" s="939"/>
      <c r="S9" s="939"/>
      <c r="T9" s="939"/>
      <c r="U9" s="939" t="s">
        <v>252</v>
      </c>
      <c r="V9" s="939"/>
      <c r="W9" s="939"/>
      <c r="X9" s="939"/>
      <c r="Y9" s="949" t="s">
        <v>280</v>
      </c>
      <c r="Z9" s="949"/>
      <c r="AA9" s="938" t="s">
        <v>230</v>
      </c>
      <c r="AB9" s="938" t="s">
        <v>196</v>
      </c>
      <c r="AC9" s="938"/>
    </row>
    <row r="10" spans="1:29" ht="42.75" x14ac:dyDescent="0.25">
      <c r="A10" s="131" t="s">
        <v>200</v>
      </c>
      <c r="C10" s="31" t="s">
        <v>281</v>
      </c>
      <c r="D10" s="880"/>
      <c r="E10" s="882"/>
      <c r="F10" s="882"/>
      <c r="G10" s="954"/>
      <c r="H10" s="880"/>
      <c r="I10" s="878"/>
      <c r="J10" s="956"/>
      <c r="K10" s="878"/>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39"/>
      <c r="AB10" s="135" t="s">
        <v>215</v>
      </c>
      <c r="AC10" s="137" t="s">
        <v>216</v>
      </c>
    </row>
    <row r="11" spans="1:29" ht="15" x14ac:dyDescent="0.25">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5" x14ac:dyDescent="0.25">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5" x14ac:dyDescent="0.25">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5" x14ac:dyDescent="0.25">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5" x14ac:dyDescent="0.25">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5" x14ac:dyDescent="0.25">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5" x14ac:dyDescent="0.25">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5" x14ac:dyDescent="0.25">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5" x14ac:dyDescent="0.25">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5" x14ac:dyDescent="0.25">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5" x14ac:dyDescent="0.25">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5" x14ac:dyDescent="0.25">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5" x14ac:dyDescent="0.25">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5" x14ac:dyDescent="0.25">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5" x14ac:dyDescent="0.25">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5" x14ac:dyDescent="0.25">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5" x14ac:dyDescent="0.25">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5" x14ac:dyDescent="0.25">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5" x14ac:dyDescent="0.25">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5" x14ac:dyDescent="0.25">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5" x14ac:dyDescent="0.25">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5" x14ac:dyDescent="0.25">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5" x14ac:dyDescent="0.25">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5" x14ac:dyDescent="0.25">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5" x14ac:dyDescent="0.25">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5" x14ac:dyDescent="0.25">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5" x14ac:dyDescent="0.25">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5" x14ac:dyDescent="0.25">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5" x14ac:dyDescent="0.25">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5" x14ac:dyDescent="0.25">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5" x14ac:dyDescent="0.25">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5" x14ac:dyDescent="0.25">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5" x14ac:dyDescent="0.25">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5" x14ac:dyDescent="0.25">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5" x14ac:dyDescent="0.25">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5" x14ac:dyDescent="0.25">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5" x14ac:dyDescent="0.25">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5" x14ac:dyDescent="0.25">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5" x14ac:dyDescent="0.25">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5" x14ac:dyDescent="0.25">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5" x14ac:dyDescent="0.25">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5" x14ac:dyDescent="0.25">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5" x14ac:dyDescent="0.25">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5" x14ac:dyDescent="0.25">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5" x14ac:dyDescent="0.25">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5" x14ac:dyDescent="0.25">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5" x14ac:dyDescent="0.25">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5" x14ac:dyDescent="0.25">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5" x14ac:dyDescent="0.25">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5" x14ac:dyDescent="0.25">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5" x14ac:dyDescent="0.25">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5" x14ac:dyDescent="0.25">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5" x14ac:dyDescent="0.25">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5" x14ac:dyDescent="0.25">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5" x14ac:dyDescent="0.25">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5" x14ac:dyDescent="0.25">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5" x14ac:dyDescent="0.25">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5" x14ac:dyDescent="0.25">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5" x14ac:dyDescent="0.25">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5" x14ac:dyDescent="0.25">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5" x14ac:dyDescent="0.25">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5" x14ac:dyDescent="0.25">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5" x14ac:dyDescent="0.25">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5" x14ac:dyDescent="0.25">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5" x14ac:dyDescent="0.25">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5" x14ac:dyDescent="0.25">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5" x14ac:dyDescent="0.25">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5" x14ac:dyDescent="0.25">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5" x14ac:dyDescent="0.25">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5" x14ac:dyDescent="0.25">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5" x14ac:dyDescent="0.25">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5" x14ac:dyDescent="0.25">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5" x14ac:dyDescent="0.25">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5" x14ac:dyDescent="0.25">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5" x14ac:dyDescent="0.25">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5" x14ac:dyDescent="0.25">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5" x14ac:dyDescent="0.25">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5" x14ac:dyDescent="0.25">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5" x14ac:dyDescent="0.25">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5" x14ac:dyDescent="0.25">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5" x14ac:dyDescent="0.25">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5" x14ac:dyDescent="0.25">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5" x14ac:dyDescent="0.25">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5" x14ac:dyDescent="0.25">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5" x14ac:dyDescent="0.25">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5" x14ac:dyDescent="0.25">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5" x14ac:dyDescent="0.25">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5" x14ac:dyDescent="0.25">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5" x14ac:dyDescent="0.25">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5" x14ac:dyDescent="0.25">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5" x14ac:dyDescent="0.25">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5" x14ac:dyDescent="0.25">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5" x14ac:dyDescent="0.25">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5" x14ac:dyDescent="0.25">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5" x14ac:dyDescent="0.25">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5" x14ac:dyDescent="0.25">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5" x14ac:dyDescent="0.25">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5" x14ac:dyDescent="0.25">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5" x14ac:dyDescent="0.25">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5" x14ac:dyDescent="0.25">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5" x14ac:dyDescent="0.25">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5" x14ac:dyDescent="0.25">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5" x14ac:dyDescent="0.25">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5" x14ac:dyDescent="0.25">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5" x14ac:dyDescent="0.25">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5" x14ac:dyDescent="0.25">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5" x14ac:dyDescent="0.25">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5" x14ac:dyDescent="0.25">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5" x14ac:dyDescent="0.25">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5" x14ac:dyDescent="0.25">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5" x14ac:dyDescent="0.25">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5" x14ac:dyDescent="0.25">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5" x14ac:dyDescent="0.25">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5" x14ac:dyDescent="0.25">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5" x14ac:dyDescent="0.25">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5" x14ac:dyDescent="0.25">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5" x14ac:dyDescent="0.25">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5" x14ac:dyDescent="0.25">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5" x14ac:dyDescent="0.25">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5" x14ac:dyDescent="0.25">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5" x14ac:dyDescent="0.25">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5" x14ac:dyDescent="0.25">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5" x14ac:dyDescent="0.25">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5" x14ac:dyDescent="0.25">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5" x14ac:dyDescent="0.25">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5" x14ac:dyDescent="0.25">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5" x14ac:dyDescent="0.25">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5" x14ac:dyDescent="0.25">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5" x14ac:dyDescent="0.25">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5" x14ac:dyDescent="0.25">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5" x14ac:dyDescent="0.25">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5" x14ac:dyDescent="0.25">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5" x14ac:dyDescent="0.25">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5" x14ac:dyDescent="0.25">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5" x14ac:dyDescent="0.25">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5" x14ac:dyDescent="0.25">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5" x14ac:dyDescent="0.25">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5" x14ac:dyDescent="0.25">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5" x14ac:dyDescent="0.25">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5" x14ac:dyDescent="0.25">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5" x14ac:dyDescent="0.25">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5" x14ac:dyDescent="0.25">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5" x14ac:dyDescent="0.25">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5" x14ac:dyDescent="0.25">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5" x14ac:dyDescent="0.25">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5" x14ac:dyDescent="0.25">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5" x14ac:dyDescent="0.25">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5" x14ac:dyDescent="0.25">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5" x14ac:dyDescent="0.25">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5" x14ac:dyDescent="0.25">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5" x14ac:dyDescent="0.25">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5" x14ac:dyDescent="0.25">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5" x14ac:dyDescent="0.25">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5" x14ac:dyDescent="0.25">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5" x14ac:dyDescent="0.25">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5" x14ac:dyDescent="0.25">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5" x14ac:dyDescent="0.25">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5" x14ac:dyDescent="0.25">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5" x14ac:dyDescent="0.25">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5" x14ac:dyDescent="0.25">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5" x14ac:dyDescent="0.25">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5" x14ac:dyDescent="0.25">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5" x14ac:dyDescent="0.25">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5" x14ac:dyDescent="0.25">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5" x14ac:dyDescent="0.25">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5" x14ac:dyDescent="0.25">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5" x14ac:dyDescent="0.25">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5" x14ac:dyDescent="0.25">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5" x14ac:dyDescent="0.25">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5" x14ac:dyDescent="0.25">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5" x14ac:dyDescent="0.25">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5" x14ac:dyDescent="0.25">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5" x14ac:dyDescent="0.25">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5" x14ac:dyDescent="0.25">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5" x14ac:dyDescent="0.25">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5" x14ac:dyDescent="0.25">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5" x14ac:dyDescent="0.25">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5" x14ac:dyDescent="0.25">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5" x14ac:dyDescent="0.25">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5" x14ac:dyDescent="0.25">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5" x14ac:dyDescent="0.25">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5" x14ac:dyDescent="0.25">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5" x14ac:dyDescent="0.25">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5" x14ac:dyDescent="0.25">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5" x14ac:dyDescent="0.25">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5" x14ac:dyDescent="0.25">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5" x14ac:dyDescent="0.25">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5" x14ac:dyDescent="0.25">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5" x14ac:dyDescent="0.25">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5" x14ac:dyDescent="0.25">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5" x14ac:dyDescent="0.25">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5" x14ac:dyDescent="0.25">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5" x14ac:dyDescent="0.25">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5" x14ac:dyDescent="0.25">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5" x14ac:dyDescent="0.25">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5" x14ac:dyDescent="0.25">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5" x14ac:dyDescent="0.25">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5" x14ac:dyDescent="0.25">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5" x14ac:dyDescent="0.25">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5" x14ac:dyDescent="0.25">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5" x14ac:dyDescent="0.25">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5" x14ac:dyDescent="0.25">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5" x14ac:dyDescent="0.25">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5" x14ac:dyDescent="0.25">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5" x14ac:dyDescent="0.25">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5" x14ac:dyDescent="0.25">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5" x14ac:dyDescent="0.25">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5" x14ac:dyDescent="0.25">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5" x14ac:dyDescent="0.25">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5" x14ac:dyDescent="0.25">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5" x14ac:dyDescent="0.25">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5" x14ac:dyDescent="0.25">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5" x14ac:dyDescent="0.25">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5" x14ac:dyDescent="0.25">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5" x14ac:dyDescent="0.25">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5" x14ac:dyDescent="0.25">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5" x14ac:dyDescent="0.25">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5" x14ac:dyDescent="0.25">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5" x14ac:dyDescent="0.25">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5" x14ac:dyDescent="0.25">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5" x14ac:dyDescent="0.25">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5" x14ac:dyDescent="0.25">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5" x14ac:dyDescent="0.25">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5" x14ac:dyDescent="0.25">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5" x14ac:dyDescent="0.25">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5" x14ac:dyDescent="0.25">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5" x14ac:dyDescent="0.25">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5" x14ac:dyDescent="0.25">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5" x14ac:dyDescent="0.25">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5" x14ac:dyDescent="0.25">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5" x14ac:dyDescent="0.25">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5" x14ac:dyDescent="0.25">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5" x14ac:dyDescent="0.25">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5" x14ac:dyDescent="0.25">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5" x14ac:dyDescent="0.25">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5" x14ac:dyDescent="0.25">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5" x14ac:dyDescent="0.25">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5" x14ac:dyDescent="0.25">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5" x14ac:dyDescent="0.25">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5" x14ac:dyDescent="0.25">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5" x14ac:dyDescent="0.25">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5" x14ac:dyDescent="0.25">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5" x14ac:dyDescent="0.25">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5" x14ac:dyDescent="0.25">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5" x14ac:dyDescent="0.25">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5.75" thickBot="1" x14ac:dyDescent="0.3">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5.75" thickBot="1" x14ac:dyDescent="0.3">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5.75" thickBot="1" x14ac:dyDescent="0.3"/>
    <row r="259" spans="5:27" ht="15.75" thickBot="1" x14ac:dyDescent="0.3">
      <c r="E259" s="501" t="s">
        <v>246</v>
      </c>
      <c r="F259" s="47"/>
      <c r="G259" s="518">
        <f>IF('Detailed Results'!$K$40&gt;0,"Error",SUMIFS($G$11:$G$256,$F$11:$F$256,"&lt;&gt;"&amp;'G-1 All Habitats'!B73,$F$11:$F$256,"&lt;&gt;"&amp;'G-1 All Habitats'!B65,$F$11:$F$256,"&lt;&gt;"&amp;'G-1 All Habitats'!B66))</f>
        <v>0</v>
      </c>
    </row>
    <row r="260" spans="5:27" ht="15" x14ac:dyDescent="0.25"/>
    <row r="261" spans="5:27" ht="15" x14ac:dyDescent="0.25"/>
    <row r="262" spans="5:27" ht="15" x14ac:dyDescent="0.25"/>
    <row r="263" spans="5:27" ht="15" x14ac:dyDescent="0.25"/>
    <row r="264" spans="5:27" ht="15" hidden="1" x14ac:dyDescent="0.25">
      <c r="T264" s="31" t="s">
        <v>285</v>
      </c>
      <c r="U264" s="31" t="s">
        <v>285</v>
      </c>
      <c r="X264" s="31" t="s">
        <v>285</v>
      </c>
      <c r="AA264" s="31" t="s">
        <v>285</v>
      </c>
    </row>
    <row r="265" spans="5:27" ht="15" hidden="1" x14ac:dyDescent="0.25">
      <c r="T265" s="31" t="s">
        <v>285</v>
      </c>
      <c r="U265" s="31" t="s">
        <v>285</v>
      </c>
      <c r="X265" s="31" t="s">
        <v>285</v>
      </c>
      <c r="AA265" s="31" t="s">
        <v>285</v>
      </c>
    </row>
    <row r="266" spans="5:27" ht="15" hidden="1" x14ac:dyDescent="0.25"/>
    <row r="267" spans="5:27" ht="15" hidden="1" x14ac:dyDescent="0.25"/>
    <row r="268" spans="5:27" ht="15" hidden="1" x14ac:dyDescent="0.25"/>
    <row r="269" spans="5:27" ht="15" hidden="1" x14ac:dyDescent="0.25"/>
    <row r="270" spans="5:27" ht="15"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5" zeroHeight="1" x14ac:dyDescent="0.25"/>
  <cols>
    <col min="1" max="1" width="19.28515625" style="31" hidden="1" customWidth="1"/>
    <col min="2" max="3" width="35" style="31" hidden="1" customWidth="1"/>
    <col min="4" max="4" width="2" style="31" customWidth="1"/>
    <col min="5" max="5" width="12.28515625" style="31" customWidth="1"/>
    <col min="6" max="6" width="73.42578125" style="31" customWidth="1"/>
    <col min="7" max="7" width="9.5703125" style="31" customWidth="1"/>
    <col min="8" max="8" width="18.28515625" style="31" customWidth="1"/>
    <col min="9" max="9" width="19.140625" style="31" customWidth="1"/>
    <col min="10" max="10" width="18.140625" style="31" customWidth="1"/>
    <col min="11" max="11" width="19.28515625" style="31" customWidth="1"/>
    <col min="12" max="12" width="22.28515625" style="31" customWidth="1"/>
    <col min="13" max="13" width="21.5703125" style="31" customWidth="1"/>
    <col min="14" max="14" width="19.28515625" style="31" customWidth="1"/>
    <col min="15" max="15" width="29.7109375" style="31" customWidth="1"/>
    <col min="16" max="16" width="29.7109375" style="31" hidden="1" customWidth="1"/>
    <col min="17" max="17" width="29.7109375" style="31" customWidth="1"/>
    <col min="18" max="18" width="71.28515625" style="31" customWidth="1"/>
    <col min="19" max="19" width="75.5703125" style="31" hidden="1" customWidth="1"/>
    <col min="20" max="21" width="34.28515625" style="31" customWidth="1"/>
    <col min="22" max="22" width="8.140625" style="31" customWidth="1"/>
    <col min="23" max="23" width="18.28515625" style="31" customWidth="1"/>
    <col min="24" max="24" width="13.140625" style="31" customWidth="1"/>
    <col min="25" max="25" width="12.5703125" style="31" bestFit="1" customWidth="1"/>
    <col min="26" max="26" width="12.5703125" style="31" customWidth="1"/>
    <col min="27" max="27" width="41.7109375" style="31" customWidth="1"/>
    <col min="28" max="28" width="20.140625" style="31" customWidth="1"/>
    <col min="29" max="29" width="12.28515625" style="31" customWidth="1"/>
    <col min="30" max="30" width="18.42578125" style="31" customWidth="1"/>
    <col min="31" max="31" width="21.28515625" style="31" customWidth="1"/>
    <col min="32" max="32" width="22.140625" style="31" customWidth="1"/>
    <col min="33" max="33" width="33" style="31" customWidth="1"/>
    <col min="34" max="35" width="18.42578125" style="31" customWidth="1"/>
    <col min="36" max="36" width="15.28515625" style="31" customWidth="1"/>
    <col min="37" max="37" width="28.28515625" style="31" customWidth="1"/>
    <col min="38" max="38" width="20.140625" style="31" customWidth="1"/>
    <col min="39" max="39" width="13.5703125" style="31" customWidth="1"/>
    <col min="40" max="40" width="91.42578125" style="31" customWidth="1"/>
    <col min="41" max="41" width="15.42578125" style="31" customWidth="1"/>
    <col min="42" max="42" width="13.28515625" style="31" customWidth="1"/>
    <col min="43" max="43" width="45.7109375" style="31" customWidth="1"/>
    <col min="44" max="44" width="50.42578125" style="31" customWidth="1"/>
    <col min="45" max="48" width="8.85546875" style="31" customWidth="1"/>
    <col min="49" max="16384" width="8.85546875" style="31" hidden="1"/>
  </cols>
  <sheetData>
    <row r="1" spans="1:44" ht="15.75" customHeight="1" thickBot="1" x14ac:dyDescent="0.3"/>
    <row r="2" spans="1:44" ht="19.899999999999999" customHeight="1" thickBot="1" x14ac:dyDescent="0.3">
      <c r="E2" s="743" t="str">
        <f>IF(Start!$F$12="","",Start!$F$12)</f>
        <v/>
      </c>
      <c r="F2" s="744"/>
      <c r="G2" s="745"/>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x14ac:dyDescent="0.3">
      <c r="E3" s="971" t="str">
        <f ca="1">MID(CELL("filename",E1),FIND("]",CELL("filename",E1))+1,256)</f>
        <v>D-3 Off Site Habitat Enhancment</v>
      </c>
      <c r="F3" s="972"/>
      <c r="G3" s="973"/>
      <c r="AD3" s="920"/>
      <c r="AE3" s="920"/>
      <c r="AF3" s="920"/>
      <c r="AG3" s="920"/>
      <c r="AH3" s="920"/>
      <c r="AI3" s="920"/>
    </row>
    <row r="4" spans="1:44" ht="15.75" customHeight="1" thickBot="1" x14ac:dyDescent="0.35">
      <c r="E4" s="971"/>
      <c r="F4" s="972"/>
      <c r="G4" s="973"/>
      <c r="AB4" s="33"/>
      <c r="AC4" s="193"/>
      <c r="AD4" s="447"/>
      <c r="AE4" s="447"/>
      <c r="AF4" s="447"/>
      <c r="AG4" s="447"/>
      <c r="AH4" s="193"/>
      <c r="AI4" s="193"/>
      <c r="AJ4" s="193"/>
      <c r="AK4" s="193"/>
      <c r="AL4" s="193"/>
      <c r="AM4" s="193"/>
      <c r="AN4" s="193"/>
    </row>
    <row r="5" spans="1:44" ht="15" customHeight="1" x14ac:dyDescent="0.25">
      <c r="AD5" s="929" t="str">
        <f>IF(Q12&lt;&gt;A12,"Change in broad habitat type detected. Check compliance with guidance.","")</f>
        <v/>
      </c>
      <c r="AE5" s="929"/>
      <c r="AF5" s="929"/>
      <c r="AG5" s="929"/>
      <c r="AH5" s="929"/>
      <c r="AI5" s="929"/>
    </row>
    <row r="6" spans="1:44" ht="15.75" customHeight="1" x14ac:dyDescent="0.25">
      <c r="AD6" s="929"/>
      <c r="AE6" s="929"/>
      <c r="AF6" s="929"/>
      <c r="AG6" s="929"/>
      <c r="AH6" s="929"/>
      <c r="AI6" s="929"/>
    </row>
    <row r="7" spans="1:44" x14ac:dyDescent="0.25">
      <c r="F7" s="132"/>
      <c r="G7" s="131"/>
    </row>
    <row r="8" spans="1:44" ht="15.75" thickBot="1" x14ac:dyDescent="0.3"/>
    <row r="9" spans="1:44" ht="15.75" thickBot="1" x14ac:dyDescent="0.3">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 customHeight="1" thickBot="1" x14ac:dyDescent="0.3">
      <c r="F10" s="950" t="s">
        <v>247</v>
      </c>
      <c r="G10" s="951"/>
      <c r="H10" s="951"/>
      <c r="I10" s="951"/>
      <c r="J10" s="951"/>
      <c r="K10" s="951"/>
      <c r="L10" s="951"/>
      <c r="M10" s="951"/>
      <c r="N10" s="951"/>
      <c r="O10" s="952"/>
      <c r="P10" s="223"/>
      <c r="Q10" s="957" t="s">
        <v>286</v>
      </c>
      <c r="R10" s="958"/>
      <c r="S10" s="394"/>
      <c r="T10" s="957" t="s">
        <v>249</v>
      </c>
      <c r="U10" s="958"/>
      <c r="V10" s="964" t="s">
        <v>287</v>
      </c>
      <c r="W10" s="962" t="s">
        <v>189</v>
      </c>
      <c r="X10" s="962" t="s">
        <v>206</v>
      </c>
      <c r="Y10" s="962" t="s">
        <v>190</v>
      </c>
      <c r="Z10" s="960" t="s">
        <v>206</v>
      </c>
      <c r="AA10" s="957" t="s">
        <v>191</v>
      </c>
      <c r="AB10" s="959"/>
      <c r="AC10" s="959"/>
      <c r="AD10" s="966" t="s">
        <v>228</v>
      </c>
      <c r="AE10" s="967"/>
      <c r="AF10" s="967"/>
      <c r="AG10" s="967"/>
      <c r="AH10" s="967"/>
      <c r="AI10" s="968"/>
      <c r="AJ10" s="966" t="s">
        <v>229</v>
      </c>
      <c r="AK10" s="967"/>
      <c r="AL10" s="967"/>
      <c r="AM10" s="968"/>
      <c r="AN10" s="957" t="s">
        <v>280</v>
      </c>
      <c r="AO10" s="958"/>
      <c r="AP10" s="969" t="s">
        <v>230</v>
      </c>
      <c r="AQ10" s="957" t="s">
        <v>196</v>
      </c>
      <c r="AR10" s="958"/>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5"/>
      <c r="W11" s="963"/>
      <c r="X11" s="963"/>
      <c r="Y11" s="963"/>
      <c r="Z11" s="961"/>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0"/>
      <c r="AQ11" s="141" t="s">
        <v>215</v>
      </c>
      <c r="AR11" s="358"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5.75"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 customHeight="1" thickBot="1" x14ac:dyDescent="0.3">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zoomScaleNormal="100" workbookViewId="0">
      <pane ySplit="9" topLeftCell="A10" activePane="bottomLeft" state="frozen"/>
      <selection activeCell="S28" sqref="S28"/>
      <selection pane="bottomLeft"/>
    </sheetView>
  </sheetViews>
  <sheetFormatPr defaultColWidth="8.85546875" defaultRowHeight="0" customHeight="1" zeroHeight="1" x14ac:dyDescent="0.25"/>
  <cols>
    <col min="1" max="1" width="3" style="31" customWidth="1"/>
    <col min="2" max="2" width="11.85546875" style="31" customWidth="1"/>
    <col min="3" max="3" width="12.7109375" style="31" customWidth="1"/>
    <col min="4" max="4" width="62.5703125" style="31" customWidth="1"/>
    <col min="5" max="5" width="10.7109375" style="31" customWidth="1"/>
    <col min="6" max="6" width="19.140625" style="31" customWidth="1"/>
    <col min="7" max="7" width="8.7109375" style="31" customWidth="1"/>
    <col min="8" max="8" width="14.28515625" style="31" bestFit="1" customWidth="1"/>
    <col min="9" max="9" width="8.42578125" style="31" customWidth="1"/>
    <col min="10" max="10" width="41.7109375" style="31" customWidth="1"/>
    <col min="11" max="11" width="21.42578125" style="31" customWidth="1"/>
    <col min="12" max="12" width="13.140625" style="31" customWidth="1"/>
    <col min="13" max="13" width="20.7109375" style="31" customWidth="1"/>
    <col min="14" max="14" width="13.28515625" style="31" customWidth="1"/>
    <col min="15" max="15" width="3.7109375" style="31" customWidth="1"/>
    <col min="16" max="17" width="12" style="31" customWidth="1"/>
    <col min="18" max="18" width="10.140625" style="31" customWidth="1"/>
    <col min="19" max="19" width="12" style="31" customWidth="1"/>
    <col min="20" max="21" width="8.7109375" style="31" customWidth="1"/>
    <col min="22" max="23" width="50.140625" style="31" customWidth="1"/>
    <col min="24" max="28" width="8.85546875" style="31" customWidth="1"/>
    <col min="29" max="30" width="8.85546875" style="31"/>
    <col min="31" max="31" width="9" style="31" hidden="1" customWidth="1"/>
    <col min="32" max="32" width="9.5703125" style="31" hidden="1" customWidth="1"/>
    <col min="33" max="33" width="0" style="31" hidden="1" customWidth="1"/>
    <col min="34" max="34" width="11.85546875" style="31" hidden="1" customWidth="1"/>
    <col min="35" max="35" width="0" style="31" hidden="1" customWidth="1"/>
    <col min="36" max="36" width="9" style="31" hidden="1" customWidth="1"/>
    <col min="37" max="37" width="9.5703125" style="31" hidden="1" customWidth="1"/>
    <col min="38" max="38" width="15.85546875" style="31" hidden="1" customWidth="1"/>
    <col min="39" max="16384" width="8.85546875" style="31"/>
  </cols>
  <sheetData>
    <row r="1" spans="2:38" ht="15.75" customHeight="1" thickBot="1" x14ac:dyDescent="0.3"/>
    <row r="2" spans="2:38" ht="20.25" customHeight="1" thickBot="1" x14ac:dyDescent="0.3">
      <c r="B2" s="743" t="str">
        <f>IF([1]Start!$F$12="","",[1]Start!$F$12)</f>
        <v/>
      </c>
      <c r="C2" s="744"/>
      <c r="D2" s="745"/>
    </row>
    <row r="3" spans="2:38" ht="20.45" customHeight="1" x14ac:dyDescent="0.25">
      <c r="B3" s="974" t="str">
        <f ca="1">MID(CELL("filename",A1),FIND("]",CELL("filename",A1))+1,256)</f>
        <v>B-1 Site Hedge Baseline</v>
      </c>
      <c r="C3" s="975"/>
      <c r="D3" s="976"/>
    </row>
    <row r="4" spans="2:38" ht="10.9" customHeight="1" thickBot="1" x14ac:dyDescent="0.3">
      <c r="B4" s="977"/>
      <c r="C4" s="978"/>
      <c r="D4" s="979"/>
    </row>
    <row r="5" spans="2:38" ht="15.75" customHeight="1" x14ac:dyDescent="0.25"/>
    <row r="6" spans="2:38" ht="20.45" customHeight="1" x14ac:dyDescent="0.25"/>
    <row r="7" spans="2:38" ht="45" customHeight="1" thickBot="1" x14ac:dyDescent="0.3">
      <c r="B7" s="132"/>
      <c r="C7" s="132"/>
      <c r="E7" s="131"/>
    </row>
    <row r="8" spans="2:38" s="42" customFormat="1" ht="28.5" customHeight="1" thickBot="1" x14ac:dyDescent="0.3">
      <c r="B8" s="40"/>
      <c r="C8" s="966" t="s">
        <v>292</v>
      </c>
      <c r="D8" s="967"/>
      <c r="E8" s="968"/>
      <c r="F8" s="939" t="s">
        <v>272</v>
      </c>
      <c r="G8" s="939"/>
      <c r="H8" s="939" t="s">
        <v>273</v>
      </c>
      <c r="I8" s="939"/>
      <c r="J8" s="939" t="s">
        <v>191</v>
      </c>
      <c r="K8" s="939"/>
      <c r="L8" s="939"/>
      <c r="M8" s="969" t="s">
        <v>192</v>
      </c>
      <c r="N8" s="167" t="s">
        <v>193</v>
      </c>
      <c r="O8" s="31"/>
      <c r="P8" s="966" t="s">
        <v>194</v>
      </c>
      <c r="Q8" s="967"/>
      <c r="R8" s="967"/>
      <c r="S8" s="967"/>
      <c r="T8" s="967"/>
      <c r="U8" s="968"/>
      <c r="V8" s="966" t="s">
        <v>196</v>
      </c>
      <c r="W8" s="968"/>
    </row>
    <row r="9" spans="2:38" ht="45.75" customHeight="1" thickBot="1" x14ac:dyDescent="0.3">
      <c r="B9" s="135" t="s">
        <v>254</v>
      </c>
      <c r="C9" s="200" t="s">
        <v>293</v>
      </c>
      <c r="D9" s="200" t="s">
        <v>99</v>
      </c>
      <c r="E9" s="201" t="s">
        <v>294</v>
      </c>
      <c r="F9" s="367" t="s">
        <v>189</v>
      </c>
      <c r="G9" s="201" t="s">
        <v>206</v>
      </c>
      <c r="H9" s="367" t="s">
        <v>190</v>
      </c>
      <c r="I9" s="201" t="s">
        <v>206</v>
      </c>
      <c r="J9" s="367" t="s">
        <v>191</v>
      </c>
      <c r="K9" s="200" t="s">
        <v>191</v>
      </c>
      <c r="L9" s="201" t="s">
        <v>231</v>
      </c>
      <c r="M9" s="970"/>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15" x14ac:dyDescent="0.25">
      <c r="B10" s="141">
        <v>1</v>
      </c>
      <c r="C10" s="202"/>
      <c r="D10" s="82"/>
      <c r="E10" s="172"/>
      <c r="F10" s="552" t="str">
        <f>IF(D10="","",VLOOKUP(D10,'G-6 Hedgerow Data'!$B$2:$AG$15,2,FALSE))</f>
        <v/>
      </c>
      <c r="G10" s="498" t="str">
        <f>IF(D10="","",VLOOKUP(D10,'G-6 Hedgerow Data'!$B$2:$AG$15,3,FALSE))</f>
        <v/>
      </c>
      <c r="H10" s="145"/>
      <c r="I10" s="498" t="str">
        <f>IFERROR(VLOOKUP(H10,'G-1 All Habitats'!$Z$2:$AA$9,2,FALSE),"")</f>
        <v/>
      </c>
      <c r="J10" s="145"/>
      <c r="K10" s="519" t="str">
        <f>IF(J10="","",IF(VLOOKUP(J10,'G-3 Multipliers'!$L$3:$N$6,2,FALSE)=0,"Spatial Data Missing",VLOOKUP(J10,'G-3 Multipliers'!$L$3:$N$6,2,FALSE)))</f>
        <v/>
      </c>
      <c r="L10" s="504" t="str">
        <f>IF(J10="","",IF(VLOOKUP(J10,'G-3 Multipliers'!$L$3:$N$6,3,FALSE)=0,"Spatial Data Missing ⚠",VLOOKUP(J10,'G-3 Multipliers'!$L$3:$N$6,3,FALSE)))</f>
        <v/>
      </c>
      <c r="M10" s="505" t="str">
        <f>IF(D10="","",VLOOKUP(D10,'G-6 Hedgerow Data'!$B$1:$AH$15,33,FALSE))</f>
        <v/>
      </c>
      <c r="N10" s="512" t="str">
        <f>IFERROR(E10*G10*I10*L10,"")</f>
        <v/>
      </c>
      <c r="O10" s="40"/>
      <c r="P10" s="154"/>
      <c r="Q10" s="154"/>
      <c r="R10" s="531" t="str">
        <f>IFERROR(P10*G10*I10*L10,"")</f>
        <v/>
      </c>
      <c r="S10" s="531" t="str">
        <f>IFERROR(Q10*G10*I10*L10,"")</f>
        <v/>
      </c>
      <c r="T10" s="531" t="str">
        <f>IF(D10="","",IF(E10-P10-Q10=0&lt;0,"Error in lengths ▲",IF(P10+Q10&gt;E10,"Error in Lengths ▲",E10-P10-Q10)))</f>
        <v/>
      </c>
      <c r="U10" s="556" t="str">
        <f>IF(OR(E10="",N10=""),"",IF(E10-P10-Q10=0&lt;0,"Error in Lengths ▲",IF(P10+Q10&gt;E10,"Error in Lengths ▲",N10-R10-S10)))</f>
        <v/>
      </c>
      <c r="V10" s="169"/>
      <c r="W10" s="170"/>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
      </c>
    </row>
    <row r="11" spans="2:38" ht="15" x14ac:dyDescent="0.25">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5" x14ac:dyDescent="0.25">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5" x14ac:dyDescent="0.25">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5" x14ac:dyDescent="0.25">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5" x14ac:dyDescent="0.25">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5" x14ac:dyDescent="0.25">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5" x14ac:dyDescent="0.25">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5" x14ac:dyDescent="0.25">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5" x14ac:dyDescent="0.25">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5" x14ac:dyDescent="0.25">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5" x14ac:dyDescent="0.25">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5" x14ac:dyDescent="0.25">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5" x14ac:dyDescent="0.25">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5" x14ac:dyDescent="0.25">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5" x14ac:dyDescent="0.25">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5" x14ac:dyDescent="0.25">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5" x14ac:dyDescent="0.25">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5" x14ac:dyDescent="0.25">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5" x14ac:dyDescent="0.25">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5" x14ac:dyDescent="0.25">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5" x14ac:dyDescent="0.25">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5" x14ac:dyDescent="0.25">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5" x14ac:dyDescent="0.25">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5" x14ac:dyDescent="0.25">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5" x14ac:dyDescent="0.25">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5" x14ac:dyDescent="0.25">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5" x14ac:dyDescent="0.25">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5" x14ac:dyDescent="0.25">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5" x14ac:dyDescent="0.25">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5" x14ac:dyDescent="0.25">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5" x14ac:dyDescent="0.25">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5" x14ac:dyDescent="0.25">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5" x14ac:dyDescent="0.25">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5" x14ac:dyDescent="0.25">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5" x14ac:dyDescent="0.25">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5" x14ac:dyDescent="0.25">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5" x14ac:dyDescent="0.25">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5" x14ac:dyDescent="0.25">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5" x14ac:dyDescent="0.25">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5" x14ac:dyDescent="0.25">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5" x14ac:dyDescent="0.25">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5" x14ac:dyDescent="0.25">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5" x14ac:dyDescent="0.25">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5" x14ac:dyDescent="0.25">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5" x14ac:dyDescent="0.25">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5" x14ac:dyDescent="0.25">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5" x14ac:dyDescent="0.25">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5" x14ac:dyDescent="0.25">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5" x14ac:dyDescent="0.25">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5" x14ac:dyDescent="0.25">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5" x14ac:dyDescent="0.25">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5" x14ac:dyDescent="0.25">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5" x14ac:dyDescent="0.25">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5" x14ac:dyDescent="0.25">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5" x14ac:dyDescent="0.25">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5" x14ac:dyDescent="0.25">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5" x14ac:dyDescent="0.25">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5" x14ac:dyDescent="0.25">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5" x14ac:dyDescent="0.25">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5" x14ac:dyDescent="0.25">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5" x14ac:dyDescent="0.25">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5" x14ac:dyDescent="0.25">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5" x14ac:dyDescent="0.25">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5" x14ac:dyDescent="0.25">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5" x14ac:dyDescent="0.25">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5" x14ac:dyDescent="0.25">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5" x14ac:dyDescent="0.25">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5" x14ac:dyDescent="0.25">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5" x14ac:dyDescent="0.25">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5" x14ac:dyDescent="0.25">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5" x14ac:dyDescent="0.25">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5" x14ac:dyDescent="0.25">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5" x14ac:dyDescent="0.25">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5" x14ac:dyDescent="0.25">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5" x14ac:dyDescent="0.25">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5" x14ac:dyDescent="0.25">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5" x14ac:dyDescent="0.25">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5" x14ac:dyDescent="0.25">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5" x14ac:dyDescent="0.25">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5" x14ac:dyDescent="0.25">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5" x14ac:dyDescent="0.25">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5" x14ac:dyDescent="0.25">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5" x14ac:dyDescent="0.25">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5" x14ac:dyDescent="0.25">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5" x14ac:dyDescent="0.25">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5" x14ac:dyDescent="0.25">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5" x14ac:dyDescent="0.25">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5" x14ac:dyDescent="0.25">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5" x14ac:dyDescent="0.25">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5" x14ac:dyDescent="0.25">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5" x14ac:dyDescent="0.25">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5" x14ac:dyDescent="0.25">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5" x14ac:dyDescent="0.25">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5" x14ac:dyDescent="0.25">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5" x14ac:dyDescent="0.25">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5" x14ac:dyDescent="0.25">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5" x14ac:dyDescent="0.25">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5" x14ac:dyDescent="0.25">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5" x14ac:dyDescent="0.25">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5" x14ac:dyDescent="0.25">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5" x14ac:dyDescent="0.25">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5" x14ac:dyDescent="0.25">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5" x14ac:dyDescent="0.25">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5" x14ac:dyDescent="0.25">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5" x14ac:dyDescent="0.25">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5" x14ac:dyDescent="0.25">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5" x14ac:dyDescent="0.25">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5" x14ac:dyDescent="0.25">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5" x14ac:dyDescent="0.25">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5" x14ac:dyDescent="0.25">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5" x14ac:dyDescent="0.25">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5" x14ac:dyDescent="0.25">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5" x14ac:dyDescent="0.25">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5" x14ac:dyDescent="0.25">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5" x14ac:dyDescent="0.25">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5" x14ac:dyDescent="0.25">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5" x14ac:dyDescent="0.25">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5" x14ac:dyDescent="0.25">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5" x14ac:dyDescent="0.25">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5" x14ac:dyDescent="0.25">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5" x14ac:dyDescent="0.25">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5" x14ac:dyDescent="0.25">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5" x14ac:dyDescent="0.25">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5" x14ac:dyDescent="0.25">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5" x14ac:dyDescent="0.25">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5" x14ac:dyDescent="0.25">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5" x14ac:dyDescent="0.25">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5" x14ac:dyDescent="0.25">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5" x14ac:dyDescent="0.25">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5" x14ac:dyDescent="0.25">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5" x14ac:dyDescent="0.25">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5" x14ac:dyDescent="0.25">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5" x14ac:dyDescent="0.25">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5" x14ac:dyDescent="0.25">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5" x14ac:dyDescent="0.25">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5" x14ac:dyDescent="0.25">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5" x14ac:dyDescent="0.25">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5" x14ac:dyDescent="0.25">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5" x14ac:dyDescent="0.25">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5" x14ac:dyDescent="0.25">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5" x14ac:dyDescent="0.25">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5" x14ac:dyDescent="0.25">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5" x14ac:dyDescent="0.25">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5" x14ac:dyDescent="0.25">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5" x14ac:dyDescent="0.25">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5" x14ac:dyDescent="0.25">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5" x14ac:dyDescent="0.25">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5" x14ac:dyDescent="0.25">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5" x14ac:dyDescent="0.25">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5" x14ac:dyDescent="0.25">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5" x14ac:dyDescent="0.25">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5" x14ac:dyDescent="0.25">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5" x14ac:dyDescent="0.25">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5" x14ac:dyDescent="0.25">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5" x14ac:dyDescent="0.25">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5" x14ac:dyDescent="0.25">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5" x14ac:dyDescent="0.25">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5" x14ac:dyDescent="0.25">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5" x14ac:dyDescent="0.25">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5" x14ac:dyDescent="0.25">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5" x14ac:dyDescent="0.25">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5" x14ac:dyDescent="0.25">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5" x14ac:dyDescent="0.25">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5" x14ac:dyDescent="0.25">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5" x14ac:dyDescent="0.25">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5" x14ac:dyDescent="0.25">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5" x14ac:dyDescent="0.25">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5" x14ac:dyDescent="0.25">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5" x14ac:dyDescent="0.25">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5" x14ac:dyDescent="0.25">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5" x14ac:dyDescent="0.25">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5" x14ac:dyDescent="0.25">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5" x14ac:dyDescent="0.25">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5" x14ac:dyDescent="0.25">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5" x14ac:dyDescent="0.25">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5" x14ac:dyDescent="0.25">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5" x14ac:dyDescent="0.25">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5" x14ac:dyDescent="0.25">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5" x14ac:dyDescent="0.25">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5" x14ac:dyDescent="0.25">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5" x14ac:dyDescent="0.25">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5" x14ac:dyDescent="0.25">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5" x14ac:dyDescent="0.25">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5" x14ac:dyDescent="0.25">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5" x14ac:dyDescent="0.25">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5" x14ac:dyDescent="0.25">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5" x14ac:dyDescent="0.25">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5" x14ac:dyDescent="0.25">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5" x14ac:dyDescent="0.25">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5" x14ac:dyDescent="0.25">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5" x14ac:dyDescent="0.25">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5" x14ac:dyDescent="0.25">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5" x14ac:dyDescent="0.25">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5" x14ac:dyDescent="0.25">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5" x14ac:dyDescent="0.25">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5" x14ac:dyDescent="0.25">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5" x14ac:dyDescent="0.25">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5" x14ac:dyDescent="0.25">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5" x14ac:dyDescent="0.25">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5" x14ac:dyDescent="0.25">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5" x14ac:dyDescent="0.25">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5" x14ac:dyDescent="0.25">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5" x14ac:dyDescent="0.25">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5" x14ac:dyDescent="0.25">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5" x14ac:dyDescent="0.25">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5" x14ac:dyDescent="0.25">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5" x14ac:dyDescent="0.25">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5" x14ac:dyDescent="0.25">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5" x14ac:dyDescent="0.25">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5" x14ac:dyDescent="0.25">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5" x14ac:dyDescent="0.25">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5" x14ac:dyDescent="0.25">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5" x14ac:dyDescent="0.25">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5" x14ac:dyDescent="0.25">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5" x14ac:dyDescent="0.25">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5" x14ac:dyDescent="0.25">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5" x14ac:dyDescent="0.25">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5" x14ac:dyDescent="0.25">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5" x14ac:dyDescent="0.25">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5" x14ac:dyDescent="0.25">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5" x14ac:dyDescent="0.25">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5" x14ac:dyDescent="0.25">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5" x14ac:dyDescent="0.25">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5" x14ac:dyDescent="0.25">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5" x14ac:dyDescent="0.25">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5" x14ac:dyDescent="0.25">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5" x14ac:dyDescent="0.25">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5" x14ac:dyDescent="0.25">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5" x14ac:dyDescent="0.25">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5" x14ac:dyDescent="0.25">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5" x14ac:dyDescent="0.25">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5" x14ac:dyDescent="0.25">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5" x14ac:dyDescent="0.25">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5" x14ac:dyDescent="0.25">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5" x14ac:dyDescent="0.25">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5" x14ac:dyDescent="0.25">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5" x14ac:dyDescent="0.25">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5" x14ac:dyDescent="0.25">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5" x14ac:dyDescent="0.25">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5" x14ac:dyDescent="0.25">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5" x14ac:dyDescent="0.25">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5" x14ac:dyDescent="0.25">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5" x14ac:dyDescent="0.25">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5" x14ac:dyDescent="0.25">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5" x14ac:dyDescent="0.25">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5" x14ac:dyDescent="0.25">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5.75" thickBot="1" x14ac:dyDescent="0.3">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5.75" thickBot="1" x14ac:dyDescent="0.3">
      <c r="D258" s="442"/>
      <c r="E258" s="553">
        <f>SUM(E10:E257)</f>
        <v>0</v>
      </c>
      <c r="M258" s="442"/>
      <c r="N258" s="555">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8" ht="15" x14ac:dyDescent="0.25">
      <c r="O259" s="166"/>
      <c r="P259" s="166"/>
      <c r="Q259" s="166"/>
      <c r="R259" s="166"/>
      <c r="S259" s="166"/>
      <c r="T259" s="166"/>
      <c r="U259" s="166"/>
    </row>
    <row r="260" spans="2:38" ht="15" x14ac:dyDescent="0.25">
      <c r="B260" s="132"/>
      <c r="C260" s="132"/>
    </row>
    <row r="261" spans="2:38" ht="15" x14ac:dyDescent="0.25">
      <c r="B261" s="132"/>
      <c r="C261" s="132"/>
    </row>
    <row r="262" spans="2:38" ht="15" x14ac:dyDescent="0.25">
      <c r="B262" s="132"/>
      <c r="C262" s="132"/>
    </row>
    <row r="263" spans="2:38" ht="15" x14ac:dyDescent="0.25">
      <c r="B263" s="132"/>
      <c r="C263" s="132"/>
    </row>
    <row r="264" spans="2:38" ht="15" x14ac:dyDescent="0.25">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2.7109375" style="31" customWidth="1"/>
    <col min="3" max="3" width="10.5703125" style="31" customWidth="1"/>
    <col min="4" max="4" width="62.7109375" style="31" customWidth="1"/>
    <col min="5" max="5" width="10.42578125" style="31" customWidth="1"/>
    <col min="6" max="6" width="18.85546875" style="31" customWidth="1"/>
    <col min="7" max="7" width="13.140625" style="31" customWidth="1"/>
    <col min="8" max="8" width="12.5703125" style="31" bestFit="1" customWidth="1"/>
    <col min="9" max="9" width="12.5703125" style="31" customWidth="1"/>
    <col min="10" max="10" width="41.7109375" style="31" customWidth="1"/>
    <col min="11" max="11" width="18.5703125" style="31" customWidth="1"/>
    <col min="12" max="12" width="12.28515625" style="31" customWidth="1"/>
    <col min="13" max="13" width="19.140625" style="31" customWidth="1"/>
    <col min="14" max="14" width="20" style="31" customWidth="1"/>
    <col min="15" max="15" width="17.7109375" style="31" customWidth="1"/>
    <col min="16" max="16" width="33.28515625" style="31" customWidth="1"/>
    <col min="17" max="17" width="19.140625" style="31" customWidth="1"/>
    <col min="18" max="18" width="15.28515625" style="31" customWidth="1"/>
    <col min="19" max="19" width="13.42578125" style="31" customWidth="1"/>
    <col min="20" max="20" width="18.42578125" style="31" customWidth="1"/>
    <col min="21" max="21" width="13.7109375" style="31" customWidth="1"/>
    <col min="22" max="22" width="11.85546875" style="31" customWidth="1"/>
    <col min="23" max="23" width="12.7109375" style="31" customWidth="1"/>
    <col min="24" max="24" width="42.42578125" style="31" customWidth="1"/>
    <col min="25" max="25" width="43.140625" style="31" customWidth="1"/>
    <col min="26" max="31" width="8.85546875" style="31" customWidth="1"/>
    <col min="32" max="32" width="8.85546875" style="31" hidden="1" customWidth="1"/>
    <col min="33" max="33" width="15.85546875" style="31" hidden="1" customWidth="1"/>
    <col min="34" max="16384" width="8.85546875" style="31" hidden="1"/>
  </cols>
  <sheetData>
    <row r="1" spans="2:33" ht="15.75" customHeight="1" thickBot="1" x14ac:dyDescent="0.3"/>
    <row r="2" spans="2:33" ht="21.6" customHeight="1" thickBot="1" x14ac:dyDescent="0.3">
      <c r="B2" s="832" t="str">
        <f>IF([1]Start!F12="","",[1]Start!F12)</f>
        <v/>
      </c>
      <c r="C2" s="833"/>
      <c r="D2" s="834"/>
    </row>
    <row r="3" spans="2:33" ht="15" customHeight="1" x14ac:dyDescent="0.25">
      <c r="B3" s="940" t="str">
        <f ca="1">MID(CELL("filename",A1),FIND("]",CELL("filename",A1))+1,256)</f>
        <v>B-2 Site Hedge Creation</v>
      </c>
      <c r="C3" s="941"/>
      <c r="D3" s="942"/>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x14ac:dyDescent="0.3">
      <c r="B4" s="943"/>
      <c r="C4" s="944"/>
      <c r="D4" s="945"/>
      <c r="M4" s="919"/>
      <c r="N4" s="919"/>
      <c r="O4" s="919"/>
      <c r="P4" s="919"/>
      <c r="Q4" s="919"/>
      <c r="R4" s="919"/>
    </row>
    <row r="5" spans="2:33" ht="15.75" customHeight="1" x14ac:dyDescent="0.25">
      <c r="M5" s="919"/>
      <c r="N5" s="919"/>
      <c r="O5" s="919"/>
      <c r="P5" s="919"/>
      <c r="Q5" s="919"/>
      <c r="R5" s="919"/>
    </row>
    <row r="6" spans="2:33" ht="15.75" customHeight="1" x14ac:dyDescent="0.25">
      <c r="M6" s="402"/>
      <c r="N6" s="402"/>
      <c r="O6" s="402"/>
      <c r="P6" s="402"/>
      <c r="Q6" s="402"/>
    </row>
    <row r="7" spans="2:33" ht="15.75" customHeight="1" x14ac:dyDescent="0.25">
      <c r="B7" s="132"/>
      <c r="C7" s="132"/>
      <c r="M7" s="402"/>
      <c r="N7" s="402"/>
      <c r="O7" s="402"/>
      <c r="P7" s="402"/>
      <c r="Q7" s="402"/>
    </row>
    <row r="8" spans="2:33" ht="15" x14ac:dyDescent="0.25"/>
    <row r="9" spans="2:33" ht="19.899999999999999" customHeight="1" thickBot="1" x14ac:dyDescent="0.3"/>
    <row r="10" spans="2:33" ht="31.5" customHeight="1" thickBot="1" x14ac:dyDescent="0.3">
      <c r="B10" s="132"/>
      <c r="C10" s="132"/>
      <c r="D10" s="966" t="s">
        <v>301</v>
      </c>
      <c r="E10" s="968"/>
      <c r="F10" s="966" t="s">
        <v>272</v>
      </c>
      <c r="G10" s="968"/>
      <c r="H10" s="966" t="s">
        <v>273</v>
      </c>
      <c r="I10" s="968"/>
      <c r="J10" s="966" t="s">
        <v>191</v>
      </c>
      <c r="K10" s="967"/>
      <c r="L10" s="968"/>
      <c r="M10" s="966" t="s">
        <v>228</v>
      </c>
      <c r="N10" s="967"/>
      <c r="O10" s="967"/>
      <c r="P10" s="967"/>
      <c r="Q10" s="967"/>
      <c r="R10" s="968"/>
      <c r="S10" s="966" t="s">
        <v>252</v>
      </c>
      <c r="T10" s="967"/>
      <c r="U10" s="967"/>
      <c r="V10" s="968"/>
      <c r="W10" s="969" t="s">
        <v>302</v>
      </c>
      <c r="X10" s="957" t="s">
        <v>196</v>
      </c>
      <c r="Y10" s="958"/>
    </row>
    <row r="11" spans="2:33" ht="42.75" x14ac:dyDescent="0.25">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15" x14ac:dyDescent="0.25">
      <c r="B12" s="367">
        <v>1</v>
      </c>
      <c r="C12" s="203"/>
      <c r="D12" s="82"/>
      <c r="E12" s="70"/>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 ⚠",VLOOKUP(J12,'G-3 Multipliers'!$L$3:$N$6,2,FALSE)))</f>
        <v/>
      </c>
      <c r="L12" s="504" t="str">
        <f>IF(J12="","",IF(VLOOKUP(J12,'G-3 Multipliers'!$L$3:$N$6,3,FALSE)=0,"Spatial Data Missing ⚠",VLOOKUP(J12,'G-3 Multipliers'!$L$3:$N$6,3,FALSE)))</f>
        <v/>
      </c>
      <c r="M12" s="497" t="str">
        <f>IF(OR(D12="",H12=""),"",(INDEX('G-6 Hedgerow Data'!$E$3:$I$15,MATCH(D12,'G-6 Hedgerow Data'!$B$3:$B$15,0),MATCH(H12,'G-6 Hedgerow Data'!$E$2:$I$2,0))))</f>
        <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520" t="str">
        <f>IF(M12="","",IF(LEFT(P12,5)="Error ▲","Check Data ⚠",IF(OR(N12="30+",N12="Habitat already in target condition"),0,IF(O12="30+","30+",IF(AND(M12="30+",OR(N12="",N12=0)),"30+",IF(AND(M12="30+",N12&gt;0),32-N12,IF(M12+O12&gt;30,"30+",IF(M12+O12-N12&gt;0,M12+O12-N12,IF(M12-N12&lt;0,0,M12+O12-N12)))))))))</f>
        <v/>
      </c>
      <c r="R12" s="521" t="str">
        <f>IF(M12="","",IF(LEFT(P12,5)="Error ▲","Check Data ⚠",VLOOKUP(Q12,TemporalMultipliers,3,FALSE)))</f>
        <v/>
      </c>
      <c r="S12" s="497" t="str">
        <f>IF(D12="","",VLOOKUP(D12,'G-6 Hedgerow Data'!$B$3:$AG$15,31,FALSE))</f>
        <v/>
      </c>
      <c r="T12" s="506" t="str">
        <f>IF(D12="","",IF(Q12="Check Data ⚠","Check Data ⚠",IF(H12="","",IF($P12="Check details - Is there evidence that habitat has reached target condition? ⚠","Low Difficulty - only applicable if all habitat created before losses ⚠","Standard difficulty applied"))))</f>
        <v/>
      </c>
      <c r="U12" s="506" t="str">
        <f>(IF(AND(T12="Standard difficulty applied",M12&gt;N12),S12,IF(AND(T12="Low Difficulty - only applicable if all habitat created before losses ⚠",Q12&lt;=0),"Low",S12)))</f>
        <v/>
      </c>
      <c r="V12" s="498" t="str">
        <f>IF(D12="","",VLOOKUP(S12,'G-3 Multipliers'!$P$3:$Q$6,2,FALSE))</f>
        <v/>
      </c>
      <c r="W12" s="528" t="str">
        <f>IFERROR(E12*G12*I12*L12*R12*V12,"")</f>
        <v/>
      </c>
      <c r="X12" s="149"/>
      <c r="Y12" s="150"/>
      <c r="AG12" s="31" t="str">
        <f>IFERROR(INDEX('G-6 Hedgerow Data'!$BJ$3:$BJ$15,MATCH(D12,'G-6 Hedgerow Data'!$B$3:$B$15,0)),"")</f>
        <v/>
      </c>
    </row>
    <row r="13" spans="2:33" ht="15" x14ac:dyDescent="0.25">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5" x14ac:dyDescent="0.25">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5" x14ac:dyDescent="0.25">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5" x14ac:dyDescent="0.25">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5" x14ac:dyDescent="0.25">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5" x14ac:dyDescent="0.25">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5" x14ac:dyDescent="0.25">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5" x14ac:dyDescent="0.25">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5" x14ac:dyDescent="0.25">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5" x14ac:dyDescent="0.25">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5" x14ac:dyDescent="0.25">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5" x14ac:dyDescent="0.25">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5" x14ac:dyDescent="0.25">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5" x14ac:dyDescent="0.25">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5" x14ac:dyDescent="0.25">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5" x14ac:dyDescent="0.25">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5" x14ac:dyDescent="0.25">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5" x14ac:dyDescent="0.25">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5" x14ac:dyDescent="0.25">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5" x14ac:dyDescent="0.25">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5" x14ac:dyDescent="0.25">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5" x14ac:dyDescent="0.25">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5" x14ac:dyDescent="0.25">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5" x14ac:dyDescent="0.25">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5" x14ac:dyDescent="0.25">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5" x14ac:dyDescent="0.25">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5" x14ac:dyDescent="0.25">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5" x14ac:dyDescent="0.25">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5" x14ac:dyDescent="0.25">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5" x14ac:dyDescent="0.25">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5" x14ac:dyDescent="0.25">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5" x14ac:dyDescent="0.25">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5" x14ac:dyDescent="0.25">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5" x14ac:dyDescent="0.25">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5" x14ac:dyDescent="0.25">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5" x14ac:dyDescent="0.25">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5" x14ac:dyDescent="0.25">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5" x14ac:dyDescent="0.25">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5" x14ac:dyDescent="0.25">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5" x14ac:dyDescent="0.25">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5" x14ac:dyDescent="0.25">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5" x14ac:dyDescent="0.25">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5" x14ac:dyDescent="0.25">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5" x14ac:dyDescent="0.25">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5" x14ac:dyDescent="0.25">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5" x14ac:dyDescent="0.25">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5" x14ac:dyDescent="0.25">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5" x14ac:dyDescent="0.25">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5" x14ac:dyDescent="0.25">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5" x14ac:dyDescent="0.25">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5" x14ac:dyDescent="0.25">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5" x14ac:dyDescent="0.25">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5" x14ac:dyDescent="0.25">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5" x14ac:dyDescent="0.25">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5" x14ac:dyDescent="0.25">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5" x14ac:dyDescent="0.25">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5" x14ac:dyDescent="0.25">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5" x14ac:dyDescent="0.25">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5" x14ac:dyDescent="0.25">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5" x14ac:dyDescent="0.25">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5" x14ac:dyDescent="0.25">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5" x14ac:dyDescent="0.25">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5" x14ac:dyDescent="0.25">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5" x14ac:dyDescent="0.25">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5" x14ac:dyDescent="0.25">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5" x14ac:dyDescent="0.25">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5" x14ac:dyDescent="0.25">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5" x14ac:dyDescent="0.25">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5" x14ac:dyDescent="0.25">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5" x14ac:dyDescent="0.25">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5" x14ac:dyDescent="0.25">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5" x14ac:dyDescent="0.25">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5" x14ac:dyDescent="0.25">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5" x14ac:dyDescent="0.25">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5" x14ac:dyDescent="0.25">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5" x14ac:dyDescent="0.25">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5" x14ac:dyDescent="0.25">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5" x14ac:dyDescent="0.25">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5" x14ac:dyDescent="0.25">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5" x14ac:dyDescent="0.25">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5" x14ac:dyDescent="0.25">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5" x14ac:dyDescent="0.25">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5" x14ac:dyDescent="0.25">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5" x14ac:dyDescent="0.25">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5" x14ac:dyDescent="0.25">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5" x14ac:dyDescent="0.25">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5" x14ac:dyDescent="0.25">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5" x14ac:dyDescent="0.25">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5" x14ac:dyDescent="0.25">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5" x14ac:dyDescent="0.25">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5" x14ac:dyDescent="0.25">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5" x14ac:dyDescent="0.25">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5" x14ac:dyDescent="0.25">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5" x14ac:dyDescent="0.25">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5" x14ac:dyDescent="0.25">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5" x14ac:dyDescent="0.25">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5" x14ac:dyDescent="0.25">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5" x14ac:dyDescent="0.25">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5" x14ac:dyDescent="0.25">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5" x14ac:dyDescent="0.25">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5" x14ac:dyDescent="0.25">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5" x14ac:dyDescent="0.25">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5" x14ac:dyDescent="0.25">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5" x14ac:dyDescent="0.25">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5" x14ac:dyDescent="0.25">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5" x14ac:dyDescent="0.25">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5" x14ac:dyDescent="0.25">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5" x14ac:dyDescent="0.25">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5" x14ac:dyDescent="0.25">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5" x14ac:dyDescent="0.25">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5" x14ac:dyDescent="0.25">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5" x14ac:dyDescent="0.25">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5" x14ac:dyDescent="0.25">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5" x14ac:dyDescent="0.25">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5" x14ac:dyDescent="0.25">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5" x14ac:dyDescent="0.25">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5" x14ac:dyDescent="0.25">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5" x14ac:dyDescent="0.25">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5" x14ac:dyDescent="0.25">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5" x14ac:dyDescent="0.25">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5" x14ac:dyDescent="0.25">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5" x14ac:dyDescent="0.25">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5" x14ac:dyDescent="0.25">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5" x14ac:dyDescent="0.25">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5" x14ac:dyDescent="0.25">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5" x14ac:dyDescent="0.25">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5" x14ac:dyDescent="0.25">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5" x14ac:dyDescent="0.25">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5" x14ac:dyDescent="0.25">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5" x14ac:dyDescent="0.25">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5" x14ac:dyDescent="0.25">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5" x14ac:dyDescent="0.25">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5" x14ac:dyDescent="0.25">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5" x14ac:dyDescent="0.25">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5" x14ac:dyDescent="0.25">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5" x14ac:dyDescent="0.25">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5" x14ac:dyDescent="0.25">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5" x14ac:dyDescent="0.25">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5" x14ac:dyDescent="0.25">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5" x14ac:dyDescent="0.25">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5" x14ac:dyDescent="0.25">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5" x14ac:dyDescent="0.25">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5" x14ac:dyDescent="0.25">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5" x14ac:dyDescent="0.25">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5" x14ac:dyDescent="0.25">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5" x14ac:dyDescent="0.25">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5" x14ac:dyDescent="0.25">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5" x14ac:dyDescent="0.25">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5" x14ac:dyDescent="0.25">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5" x14ac:dyDescent="0.25">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5" x14ac:dyDescent="0.25">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5" x14ac:dyDescent="0.25">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5" x14ac:dyDescent="0.25">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5" x14ac:dyDescent="0.25">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5" x14ac:dyDescent="0.25">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5" x14ac:dyDescent="0.25">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5" x14ac:dyDescent="0.25">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5" x14ac:dyDescent="0.25">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5" x14ac:dyDescent="0.25">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5" x14ac:dyDescent="0.25">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5" x14ac:dyDescent="0.25">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5" x14ac:dyDescent="0.25">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5" x14ac:dyDescent="0.25">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5" x14ac:dyDescent="0.25">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5" x14ac:dyDescent="0.25">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5" x14ac:dyDescent="0.25">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5" x14ac:dyDescent="0.25">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5" x14ac:dyDescent="0.25">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5" x14ac:dyDescent="0.25">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5" x14ac:dyDescent="0.25">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5" x14ac:dyDescent="0.25">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5" x14ac:dyDescent="0.25">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5" x14ac:dyDescent="0.25">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5" x14ac:dyDescent="0.25">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5" x14ac:dyDescent="0.25">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5" x14ac:dyDescent="0.25">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5" x14ac:dyDescent="0.25">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5" x14ac:dyDescent="0.25">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5" x14ac:dyDescent="0.25">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5" x14ac:dyDescent="0.25">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5" x14ac:dyDescent="0.25">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5" x14ac:dyDescent="0.25">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5" x14ac:dyDescent="0.25">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5" x14ac:dyDescent="0.25">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5" x14ac:dyDescent="0.25">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5" x14ac:dyDescent="0.25">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5" x14ac:dyDescent="0.25">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5" x14ac:dyDescent="0.25">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5" x14ac:dyDescent="0.25">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5" x14ac:dyDescent="0.25">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5" x14ac:dyDescent="0.25">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5" x14ac:dyDescent="0.25">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5" x14ac:dyDescent="0.25">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5" x14ac:dyDescent="0.25">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5" x14ac:dyDescent="0.25">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5" x14ac:dyDescent="0.25">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5" x14ac:dyDescent="0.25">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5" x14ac:dyDescent="0.25">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5" x14ac:dyDescent="0.25">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5" x14ac:dyDescent="0.25">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5" x14ac:dyDescent="0.25">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5" x14ac:dyDescent="0.25">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5" x14ac:dyDescent="0.25">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5" x14ac:dyDescent="0.25">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5" x14ac:dyDescent="0.25">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5" x14ac:dyDescent="0.25">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5" x14ac:dyDescent="0.25">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5" x14ac:dyDescent="0.25">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5" x14ac:dyDescent="0.25">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5" x14ac:dyDescent="0.25">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5" x14ac:dyDescent="0.25">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5" x14ac:dyDescent="0.25">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5" x14ac:dyDescent="0.25">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5" x14ac:dyDescent="0.25">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5" x14ac:dyDescent="0.25">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5" x14ac:dyDescent="0.25">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5" x14ac:dyDescent="0.25">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5" x14ac:dyDescent="0.25">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5" x14ac:dyDescent="0.25">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5" x14ac:dyDescent="0.25">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5" x14ac:dyDescent="0.25">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5" x14ac:dyDescent="0.25">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5" x14ac:dyDescent="0.25">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5" x14ac:dyDescent="0.25">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5" x14ac:dyDescent="0.25">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5" x14ac:dyDescent="0.25">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5" x14ac:dyDescent="0.25">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5" x14ac:dyDescent="0.25">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5" x14ac:dyDescent="0.25">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5" x14ac:dyDescent="0.25">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5" x14ac:dyDescent="0.25">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5" x14ac:dyDescent="0.25">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5" x14ac:dyDescent="0.25">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5" x14ac:dyDescent="0.25">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5" x14ac:dyDescent="0.25">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5" x14ac:dyDescent="0.25">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5" x14ac:dyDescent="0.25">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5" x14ac:dyDescent="0.25">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5" x14ac:dyDescent="0.25">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5" x14ac:dyDescent="0.25">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5" x14ac:dyDescent="0.25">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5" x14ac:dyDescent="0.25">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5" x14ac:dyDescent="0.25">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5" x14ac:dyDescent="0.25">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5" x14ac:dyDescent="0.25">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5" x14ac:dyDescent="0.25">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5.75" thickBot="1" x14ac:dyDescent="0.3">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982"/>
      <c r="V260" s="983"/>
      <c r="W260" s="502">
        <f>SUM(W12:W259)</f>
        <v>0</v>
      </c>
      <c r="X260" s="46"/>
      <c r="Y260" s="46"/>
    </row>
    <row r="261" spans="2:33" ht="28.9" customHeight="1" x14ac:dyDescent="0.25">
      <c r="E261" s="980"/>
      <c r="F261" s="980"/>
      <c r="G261" s="980"/>
      <c r="H261" s="980"/>
      <c r="I261" s="980"/>
      <c r="J261" s="980"/>
    </row>
    <row r="262" spans="2:33" ht="27" customHeight="1" x14ac:dyDescent="0.25"/>
    <row r="263" spans="2:33" ht="15" x14ac:dyDescent="0.25"/>
    <row r="264" spans="2:33" ht="15" x14ac:dyDescent="0.25"/>
    <row r="265" spans="2:33" ht="15" x14ac:dyDescent="0.25"/>
    <row r="266" spans="2:33" ht="15" x14ac:dyDescent="0.25"/>
    <row r="267" spans="2:33" ht="15" x14ac:dyDescent="0.25"/>
    <row r="268" spans="2:33" ht="15" x14ac:dyDescent="0.25"/>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 style="31" customWidth="1"/>
    <col min="3" max="3" width="53.28515625" style="31" customWidth="1"/>
    <col min="4" max="4" width="9" style="31" customWidth="1"/>
    <col min="5" max="5" width="18.7109375" style="31" customWidth="1"/>
    <col min="6" max="6" width="17.5703125" style="31" customWidth="1"/>
    <col min="7" max="7" width="18.140625" style="31" customWidth="1"/>
    <col min="8" max="11" width="19.28515625" style="31" customWidth="1"/>
    <col min="12" max="12" width="33.42578125" style="31" customWidth="1"/>
    <col min="13" max="13" width="68.7109375" style="31" customWidth="1"/>
    <col min="14" max="15" width="34.28515625" style="31" customWidth="1"/>
    <col min="16" max="16" width="10.28515625" style="31" customWidth="1"/>
    <col min="17" max="17" width="17.5703125" style="31" customWidth="1"/>
    <col min="18" max="18" width="13.140625" style="31" customWidth="1"/>
    <col min="19" max="19" width="12.5703125" style="31" bestFit="1" customWidth="1"/>
    <col min="20" max="20" width="12.5703125" style="31" customWidth="1"/>
    <col min="21" max="21" width="41.7109375" style="31" customWidth="1"/>
    <col min="22" max="22" width="15.42578125" style="31" customWidth="1"/>
    <col min="23" max="23" width="12.28515625" style="31" customWidth="1"/>
    <col min="24" max="24" width="18.85546875" style="31" customWidth="1"/>
    <col min="25" max="25" width="21.7109375" style="31" customWidth="1"/>
    <col min="26" max="26" width="22.85546875" style="31" customWidth="1"/>
    <col min="27" max="27" width="33.5703125" style="31" customWidth="1"/>
    <col min="28" max="28" width="18.85546875" style="31" customWidth="1"/>
    <col min="29" max="29" width="15.28515625" style="31" customWidth="1"/>
    <col min="30" max="30" width="15.7109375" style="31" customWidth="1"/>
    <col min="31" max="31" width="24" style="31" customWidth="1"/>
    <col min="32" max="32" width="22.140625" style="31" customWidth="1"/>
    <col min="33" max="33" width="13.42578125" style="31" customWidth="1"/>
    <col min="34" max="34" width="12.7109375" style="31" customWidth="1"/>
    <col min="35" max="36" width="34.85546875" style="31" customWidth="1"/>
    <col min="37" max="45" width="8.85546875" style="31" customWidth="1"/>
    <col min="46" max="46" width="15.7109375" style="31" hidden="1" customWidth="1"/>
    <col min="47" max="16384" width="8.85546875" style="31" hidden="1"/>
  </cols>
  <sheetData>
    <row r="1" spans="2:46" ht="15.75" customHeight="1" thickBot="1" x14ac:dyDescent="0.3"/>
    <row r="2" spans="2:46" ht="19.899999999999999" customHeight="1" thickBot="1" x14ac:dyDescent="0.3">
      <c r="B2" s="986" t="str">
        <f>IF(Start!F12="","",Start!F12)</f>
        <v/>
      </c>
      <c r="C2" s="987"/>
      <c r="D2" s="988"/>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x14ac:dyDescent="0.25">
      <c r="B3" s="940" t="str">
        <f ca="1">MID(CELL("filename",A1),FIND("]",CELL("filename",A1))+1,256)</f>
        <v>B-3 Site Hedge Enhancement</v>
      </c>
      <c r="C3" s="941"/>
      <c r="D3" s="942"/>
      <c r="X3" s="919"/>
      <c r="Y3" s="919"/>
      <c r="Z3" s="919"/>
      <c r="AA3" s="919"/>
      <c r="AB3" s="919"/>
      <c r="AC3" s="919"/>
    </row>
    <row r="4" spans="2:46" ht="15.75" customHeight="1" thickBot="1" x14ac:dyDescent="0.3">
      <c r="B4" s="943"/>
      <c r="C4" s="944"/>
      <c r="D4" s="945"/>
      <c r="V4" s="33"/>
      <c r="W4" s="193"/>
      <c r="X4" s="919"/>
      <c r="Y4" s="919"/>
      <c r="Z4" s="919"/>
      <c r="AA4" s="919"/>
      <c r="AB4" s="919"/>
      <c r="AC4" s="919"/>
      <c r="AD4" s="193"/>
      <c r="AE4" s="193"/>
      <c r="AF4" s="193"/>
      <c r="AG4" s="193"/>
      <c r="AH4" s="193"/>
      <c r="AI4" s="193"/>
      <c r="AJ4" s="193"/>
    </row>
    <row r="5" spans="2:46" ht="15.75" customHeight="1" x14ac:dyDescent="0.25">
      <c r="X5" s="402"/>
      <c r="Y5" s="402"/>
      <c r="Z5" s="402"/>
      <c r="AA5" s="402"/>
      <c r="AB5" s="402"/>
    </row>
    <row r="6" spans="2:46" ht="15.75" customHeight="1" x14ac:dyDescent="0.25">
      <c r="X6" s="402"/>
      <c r="Y6" s="402"/>
      <c r="Z6" s="402"/>
      <c r="AA6" s="402"/>
      <c r="AB6" s="402"/>
    </row>
    <row r="7" spans="2:46" ht="15" x14ac:dyDescent="0.25">
      <c r="B7" s="132"/>
      <c r="C7" s="132"/>
      <c r="M7" s="131"/>
    </row>
    <row r="8" spans="2:46" ht="19.899999999999999" customHeight="1" thickBot="1" x14ac:dyDescent="0.3"/>
    <row r="9" spans="2:46" ht="15.75" thickBot="1" x14ac:dyDescent="0.3">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3">
      <c r="B10" s="197"/>
      <c r="C10" s="985" t="s">
        <v>306</v>
      </c>
      <c r="D10" s="985"/>
      <c r="E10" s="985"/>
      <c r="F10" s="985"/>
      <c r="G10" s="985"/>
      <c r="H10" s="985"/>
      <c r="I10" s="985"/>
      <c r="J10" s="985"/>
      <c r="K10" s="985"/>
      <c r="L10" s="985"/>
      <c r="M10" s="938" t="s">
        <v>307</v>
      </c>
      <c r="N10" s="992" t="s">
        <v>308</v>
      </c>
      <c r="O10" s="992"/>
      <c r="P10" s="938" t="s">
        <v>294</v>
      </c>
      <c r="Q10" s="879" t="s">
        <v>189</v>
      </c>
      <c r="R10" s="877"/>
      <c r="S10" s="955" t="s">
        <v>190</v>
      </c>
      <c r="T10" s="877"/>
      <c r="U10" s="949" t="s">
        <v>191</v>
      </c>
      <c r="V10" s="949"/>
      <c r="W10" s="949"/>
      <c r="X10" s="966" t="s">
        <v>228</v>
      </c>
      <c r="Y10" s="967"/>
      <c r="Z10" s="967"/>
      <c r="AA10" s="967"/>
      <c r="AB10" s="967"/>
      <c r="AC10" s="968"/>
      <c r="AD10" s="939" t="s">
        <v>252</v>
      </c>
      <c r="AE10" s="939"/>
      <c r="AF10" s="939"/>
      <c r="AG10" s="939"/>
      <c r="AH10" s="939" t="s">
        <v>302</v>
      </c>
      <c r="AI10" s="958" t="s">
        <v>196</v>
      </c>
      <c r="AJ10" s="949"/>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39"/>
      <c r="N11" s="367" t="s">
        <v>310</v>
      </c>
      <c r="O11" s="201" t="s">
        <v>311</v>
      </c>
      <c r="P11" s="939"/>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5" x14ac:dyDescent="0.25">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5" x14ac:dyDescent="0.25">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5" x14ac:dyDescent="0.25">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5" x14ac:dyDescent="0.25">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5" x14ac:dyDescent="0.25">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5" x14ac:dyDescent="0.25">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5" x14ac:dyDescent="0.25">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5" x14ac:dyDescent="0.25">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5" x14ac:dyDescent="0.25">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5" x14ac:dyDescent="0.25">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5" x14ac:dyDescent="0.25">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5" x14ac:dyDescent="0.25">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5" x14ac:dyDescent="0.25">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5" x14ac:dyDescent="0.25">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5" x14ac:dyDescent="0.25">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5" x14ac:dyDescent="0.25">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5" x14ac:dyDescent="0.25">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5" x14ac:dyDescent="0.25">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5" x14ac:dyDescent="0.25">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5" x14ac:dyDescent="0.25">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5" x14ac:dyDescent="0.25">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5" x14ac:dyDescent="0.25">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5" x14ac:dyDescent="0.25">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5" x14ac:dyDescent="0.25">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5" x14ac:dyDescent="0.25">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5" x14ac:dyDescent="0.25">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5" x14ac:dyDescent="0.25">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5" x14ac:dyDescent="0.25">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5" x14ac:dyDescent="0.25">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5" x14ac:dyDescent="0.25">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5" x14ac:dyDescent="0.25">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5" x14ac:dyDescent="0.25">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5" x14ac:dyDescent="0.25">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5" x14ac:dyDescent="0.25">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5" x14ac:dyDescent="0.25">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5" x14ac:dyDescent="0.25">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5" x14ac:dyDescent="0.25">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5" x14ac:dyDescent="0.25">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5" x14ac:dyDescent="0.25">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5" x14ac:dyDescent="0.25">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5" x14ac:dyDescent="0.25">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5" x14ac:dyDescent="0.25">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5" x14ac:dyDescent="0.25">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5" x14ac:dyDescent="0.25">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5" x14ac:dyDescent="0.25">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5" x14ac:dyDescent="0.25">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5" x14ac:dyDescent="0.25">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5" x14ac:dyDescent="0.25">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5" x14ac:dyDescent="0.25">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5" x14ac:dyDescent="0.25">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5" x14ac:dyDescent="0.25">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5" x14ac:dyDescent="0.25">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5" x14ac:dyDescent="0.25">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5" x14ac:dyDescent="0.25">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5" x14ac:dyDescent="0.25">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5" x14ac:dyDescent="0.25">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5" x14ac:dyDescent="0.25">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5" x14ac:dyDescent="0.25">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5" x14ac:dyDescent="0.25">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5" x14ac:dyDescent="0.25">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5" x14ac:dyDescent="0.25">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5" x14ac:dyDescent="0.25">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5" x14ac:dyDescent="0.25">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5" x14ac:dyDescent="0.25">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5" x14ac:dyDescent="0.25">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5" x14ac:dyDescent="0.25">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5" x14ac:dyDescent="0.25">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5" x14ac:dyDescent="0.25">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5" x14ac:dyDescent="0.25">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5" x14ac:dyDescent="0.25">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5" x14ac:dyDescent="0.25">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5" x14ac:dyDescent="0.25">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5" x14ac:dyDescent="0.25">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5" x14ac:dyDescent="0.25">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5" x14ac:dyDescent="0.25">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5" x14ac:dyDescent="0.25">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5" x14ac:dyDescent="0.25">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5" x14ac:dyDescent="0.25">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5" x14ac:dyDescent="0.25">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5" x14ac:dyDescent="0.25">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5" x14ac:dyDescent="0.25">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5" x14ac:dyDescent="0.25">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5" x14ac:dyDescent="0.25">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5" x14ac:dyDescent="0.25">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5" x14ac:dyDescent="0.25">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5" x14ac:dyDescent="0.25">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5" x14ac:dyDescent="0.25">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5" x14ac:dyDescent="0.25">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5" x14ac:dyDescent="0.25">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5" x14ac:dyDescent="0.25">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5" x14ac:dyDescent="0.25">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5" x14ac:dyDescent="0.25">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5" x14ac:dyDescent="0.25">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5" x14ac:dyDescent="0.25">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5" x14ac:dyDescent="0.25">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5" x14ac:dyDescent="0.25">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5" x14ac:dyDescent="0.25">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5" x14ac:dyDescent="0.25">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5" x14ac:dyDescent="0.25">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5" x14ac:dyDescent="0.25">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5" x14ac:dyDescent="0.25">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5" x14ac:dyDescent="0.25">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5" x14ac:dyDescent="0.25">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5" x14ac:dyDescent="0.25">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5" x14ac:dyDescent="0.25">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5" x14ac:dyDescent="0.25">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5" x14ac:dyDescent="0.25">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5" x14ac:dyDescent="0.25">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5" x14ac:dyDescent="0.25">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5" x14ac:dyDescent="0.25">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5" x14ac:dyDescent="0.25">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5" x14ac:dyDescent="0.25">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5" x14ac:dyDescent="0.25">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5" x14ac:dyDescent="0.25">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5" x14ac:dyDescent="0.25">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5" x14ac:dyDescent="0.25">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5" x14ac:dyDescent="0.25">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5" x14ac:dyDescent="0.25">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5" x14ac:dyDescent="0.25">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5" x14ac:dyDescent="0.25">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5" x14ac:dyDescent="0.25">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5" x14ac:dyDescent="0.25">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5" x14ac:dyDescent="0.25">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5" x14ac:dyDescent="0.25">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5" x14ac:dyDescent="0.25">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5" x14ac:dyDescent="0.25">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5" x14ac:dyDescent="0.25">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5" x14ac:dyDescent="0.25">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5" x14ac:dyDescent="0.25">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5" x14ac:dyDescent="0.25">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5" x14ac:dyDescent="0.25">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5" x14ac:dyDescent="0.25">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5" x14ac:dyDescent="0.25">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5" x14ac:dyDescent="0.25">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5" x14ac:dyDescent="0.25">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5" x14ac:dyDescent="0.25">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5" x14ac:dyDescent="0.25">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5" x14ac:dyDescent="0.25">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5" x14ac:dyDescent="0.25">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5" x14ac:dyDescent="0.25">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5" x14ac:dyDescent="0.25">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5" x14ac:dyDescent="0.25">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5" x14ac:dyDescent="0.25">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5" x14ac:dyDescent="0.25">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5" x14ac:dyDescent="0.25">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5" x14ac:dyDescent="0.25">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5" x14ac:dyDescent="0.25">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5" x14ac:dyDescent="0.25">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5" x14ac:dyDescent="0.25">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5" x14ac:dyDescent="0.25">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5" x14ac:dyDescent="0.25">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5" x14ac:dyDescent="0.25">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5" x14ac:dyDescent="0.25">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5" x14ac:dyDescent="0.25">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5" x14ac:dyDescent="0.25">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5" x14ac:dyDescent="0.25">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5" x14ac:dyDescent="0.25">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5" x14ac:dyDescent="0.25">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5" x14ac:dyDescent="0.25">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5" x14ac:dyDescent="0.25">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5" x14ac:dyDescent="0.25">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5" x14ac:dyDescent="0.25">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5" x14ac:dyDescent="0.25">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5" x14ac:dyDescent="0.25">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5" x14ac:dyDescent="0.25">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5" x14ac:dyDescent="0.25">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5" x14ac:dyDescent="0.25">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5" x14ac:dyDescent="0.25">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5" x14ac:dyDescent="0.25">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5" x14ac:dyDescent="0.25">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5" x14ac:dyDescent="0.25">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5" x14ac:dyDescent="0.25">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5" x14ac:dyDescent="0.25">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5" x14ac:dyDescent="0.25">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5" x14ac:dyDescent="0.25">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5" x14ac:dyDescent="0.25">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5" x14ac:dyDescent="0.25">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5" x14ac:dyDescent="0.25">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5" x14ac:dyDescent="0.25">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5" x14ac:dyDescent="0.25">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5" x14ac:dyDescent="0.25">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5" x14ac:dyDescent="0.25">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5" x14ac:dyDescent="0.25">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5" x14ac:dyDescent="0.25">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5" x14ac:dyDescent="0.25">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5" x14ac:dyDescent="0.25">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5" x14ac:dyDescent="0.25">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5" x14ac:dyDescent="0.25">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5" x14ac:dyDescent="0.25">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5" x14ac:dyDescent="0.25">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5" x14ac:dyDescent="0.25">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5" x14ac:dyDescent="0.25">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5" x14ac:dyDescent="0.25">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5" x14ac:dyDescent="0.25">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5" x14ac:dyDescent="0.25">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5" x14ac:dyDescent="0.25">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5" x14ac:dyDescent="0.25">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5" x14ac:dyDescent="0.25">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5" x14ac:dyDescent="0.25">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5" x14ac:dyDescent="0.25">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5" x14ac:dyDescent="0.25">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5" x14ac:dyDescent="0.25">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5" x14ac:dyDescent="0.25">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5" x14ac:dyDescent="0.25">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5" x14ac:dyDescent="0.25">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5" x14ac:dyDescent="0.25">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5" x14ac:dyDescent="0.25">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5" x14ac:dyDescent="0.25">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5" x14ac:dyDescent="0.25">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5" x14ac:dyDescent="0.25">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5" x14ac:dyDescent="0.25">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5" x14ac:dyDescent="0.25">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5" x14ac:dyDescent="0.25">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5" x14ac:dyDescent="0.25">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5" x14ac:dyDescent="0.25">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5" x14ac:dyDescent="0.25">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5" x14ac:dyDescent="0.25">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5" x14ac:dyDescent="0.25">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5" x14ac:dyDescent="0.25">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5" x14ac:dyDescent="0.25">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5" x14ac:dyDescent="0.25">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5" x14ac:dyDescent="0.25">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5" x14ac:dyDescent="0.25">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5" x14ac:dyDescent="0.25">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5" x14ac:dyDescent="0.25">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5" x14ac:dyDescent="0.25">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5" x14ac:dyDescent="0.25">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5" x14ac:dyDescent="0.25">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5" x14ac:dyDescent="0.25">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5" x14ac:dyDescent="0.25">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5" x14ac:dyDescent="0.25">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5" x14ac:dyDescent="0.25">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5" x14ac:dyDescent="0.25">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5" x14ac:dyDescent="0.25">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5" x14ac:dyDescent="0.25">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5" x14ac:dyDescent="0.25">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5" x14ac:dyDescent="0.25">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5" x14ac:dyDescent="0.25">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5" x14ac:dyDescent="0.25">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5" x14ac:dyDescent="0.25">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5" x14ac:dyDescent="0.25">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5" x14ac:dyDescent="0.25">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5" x14ac:dyDescent="0.25">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5" x14ac:dyDescent="0.25">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5" x14ac:dyDescent="0.25">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5.75" thickBot="1" x14ac:dyDescent="0.3">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5.75" thickBot="1" x14ac:dyDescent="0.3">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5" x14ac:dyDescent="0.25"/>
    <row r="260" spans="2:46" ht="15" x14ac:dyDescent="0.25"/>
    <row r="261" spans="2:46" ht="15" x14ac:dyDescent="0.25"/>
    <row r="262" spans="2:46" ht="15" x14ac:dyDescent="0.25"/>
    <row r="263" spans="2:46" ht="15" x14ac:dyDescent="0.25"/>
    <row r="264" spans="2:46" ht="15" x14ac:dyDescent="0.25"/>
    <row r="265" spans="2:46" ht="15" x14ac:dyDescent="0.25"/>
    <row r="266" spans="2:46" ht="15" x14ac:dyDescent="0.25"/>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5" style="31" customWidth="1"/>
    <col min="2" max="2" width="11.42578125" style="31" customWidth="1"/>
    <col min="3" max="3" width="9.5703125" style="31" bestFit="1" customWidth="1"/>
    <col min="4" max="4" width="53.7109375" style="31" bestFit="1" customWidth="1"/>
    <col min="5" max="5" width="8.85546875" style="31" customWidth="1"/>
    <col min="6" max="6" width="17.5703125" style="31" customWidth="1"/>
    <col min="7" max="7" width="8.42578125" style="31" customWidth="1"/>
    <col min="8" max="8" width="11.7109375" style="31" bestFit="1" customWidth="1"/>
    <col min="9" max="9" width="8.7109375" style="31" customWidth="1"/>
    <col min="10" max="10" width="41.7109375" style="31" customWidth="1"/>
    <col min="11" max="11" width="14.5703125" style="31" customWidth="1"/>
    <col min="12" max="12" width="11.85546875" style="31" customWidth="1"/>
    <col min="13" max="13" width="21.140625" style="31" bestFit="1" customWidth="1"/>
    <col min="14" max="14" width="13.140625" style="31" customWidth="1"/>
    <col min="15" max="15" width="3.7109375" style="31" customWidth="1"/>
    <col min="16" max="16" width="10.28515625" style="31" bestFit="1" customWidth="1"/>
    <col min="17" max="17" width="11.7109375" style="31" customWidth="1"/>
    <col min="18" max="18" width="10.5703125" style="31" customWidth="1"/>
    <col min="19" max="19" width="11.7109375" style="31" customWidth="1"/>
    <col min="20" max="20" width="13.5703125" style="31" customWidth="1"/>
    <col min="21" max="21" width="8.28515625" style="31" customWidth="1"/>
    <col min="22" max="22" width="23.140625" style="31" bestFit="1" customWidth="1"/>
    <col min="23" max="23" width="23.42578125" style="31" bestFit="1" customWidth="1"/>
    <col min="24" max="27" width="8.85546875" style="31" customWidth="1"/>
    <col min="28" max="28" width="19.5703125" style="31" hidden="1" customWidth="1"/>
    <col min="29" max="30" width="8.85546875" style="31" hidden="1"/>
    <col min="31" max="31" width="9.28515625" style="31" hidden="1" customWidth="1"/>
    <col min="32" max="32" width="10.42578125" style="31" hidden="1" customWidth="1"/>
    <col min="33" max="33" width="8.85546875" style="31" hidden="1"/>
    <col min="34" max="34" width="12.42578125" style="31" hidden="1" customWidth="1"/>
    <col min="35" max="35" width="8.85546875" style="31" hidden="1"/>
    <col min="36" max="36" width="9.28515625" style="31" hidden="1" customWidth="1"/>
    <col min="37" max="37" width="10.42578125" style="31" hidden="1" customWidth="1"/>
    <col min="38" max="16384" width="8.85546875" style="31" hidden="1"/>
  </cols>
  <sheetData>
    <row r="1" spans="2:37" ht="15.75" customHeight="1" thickBot="1" x14ac:dyDescent="0.3"/>
    <row r="2" spans="2:37" ht="15.75" customHeight="1" thickBot="1" x14ac:dyDescent="0.3">
      <c r="B2" s="743" t="str">
        <f>IF(Start!$F$12="","",Start!$F$12)</f>
        <v/>
      </c>
      <c r="C2" s="744"/>
      <c r="D2" s="745"/>
    </row>
    <row r="3" spans="2:37" ht="15.75" customHeight="1" x14ac:dyDescent="0.25">
      <c r="B3" s="974" t="str">
        <f ca="1">MID(CELL("filename",A1),FIND("]",CELL("filename",A1))+1,256)</f>
        <v>E-1 Off Site Hedge Baseline</v>
      </c>
      <c r="C3" s="975"/>
      <c r="D3" s="976"/>
    </row>
    <row r="4" spans="2:37" ht="15.75" customHeight="1" thickBot="1" x14ac:dyDescent="0.3">
      <c r="B4" s="977"/>
      <c r="C4" s="978"/>
      <c r="D4" s="979"/>
    </row>
    <row r="5" spans="2:37" ht="37.9" customHeight="1" x14ac:dyDescent="0.25"/>
    <row r="6" spans="2:37" ht="28.9" customHeight="1" x14ac:dyDescent="0.25"/>
    <row r="7" spans="2:37" ht="15.75" customHeight="1" thickBot="1" x14ac:dyDescent="0.3">
      <c r="B7" s="132"/>
      <c r="C7" s="132"/>
      <c r="D7" s="131"/>
    </row>
    <row r="8" spans="2:37" s="42" customFormat="1" ht="29.25" thickBot="1" x14ac:dyDescent="0.3">
      <c r="B8" s="40"/>
      <c r="C8" s="966" t="s">
        <v>315</v>
      </c>
      <c r="D8" s="967"/>
      <c r="E8" s="968"/>
      <c r="F8" s="966" t="s">
        <v>272</v>
      </c>
      <c r="G8" s="968"/>
      <c r="H8" s="966" t="s">
        <v>273</v>
      </c>
      <c r="I8" s="968"/>
      <c r="J8" s="966" t="s">
        <v>191</v>
      </c>
      <c r="K8" s="967"/>
      <c r="L8" s="968"/>
      <c r="M8" s="969" t="s">
        <v>309</v>
      </c>
      <c r="N8" s="167" t="s">
        <v>193</v>
      </c>
      <c r="O8" s="138"/>
      <c r="P8" s="993" t="s">
        <v>194</v>
      </c>
      <c r="Q8" s="995"/>
      <c r="R8" s="995"/>
      <c r="S8" s="995"/>
      <c r="T8" s="995"/>
      <c r="U8" s="994"/>
      <c r="V8" s="993" t="s">
        <v>196</v>
      </c>
      <c r="W8" s="994"/>
    </row>
    <row r="9" spans="2:37" ht="43.5" thickBot="1" x14ac:dyDescent="0.3">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5" x14ac:dyDescent="0.25">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5" x14ac:dyDescent="0.25">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5" x14ac:dyDescent="0.25">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5" x14ac:dyDescent="0.25">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5" x14ac:dyDescent="0.25">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5" x14ac:dyDescent="0.25">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5" x14ac:dyDescent="0.25">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5" x14ac:dyDescent="0.25">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5" x14ac:dyDescent="0.25">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5" x14ac:dyDescent="0.25">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5" x14ac:dyDescent="0.25">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5" x14ac:dyDescent="0.25">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5" x14ac:dyDescent="0.25">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5" x14ac:dyDescent="0.25">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5" x14ac:dyDescent="0.25">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5" x14ac:dyDescent="0.25">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5" x14ac:dyDescent="0.25">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5" x14ac:dyDescent="0.25">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5" x14ac:dyDescent="0.25">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5" x14ac:dyDescent="0.25">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5" x14ac:dyDescent="0.25">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5" x14ac:dyDescent="0.25">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5" x14ac:dyDescent="0.25">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5" x14ac:dyDescent="0.25">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5" x14ac:dyDescent="0.25">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5" x14ac:dyDescent="0.25">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5" x14ac:dyDescent="0.25">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5" x14ac:dyDescent="0.25">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5" x14ac:dyDescent="0.25">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5" x14ac:dyDescent="0.25">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5" x14ac:dyDescent="0.25">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5" x14ac:dyDescent="0.25">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5" x14ac:dyDescent="0.25">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5" x14ac:dyDescent="0.25">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5" x14ac:dyDescent="0.25">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5" x14ac:dyDescent="0.25">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5" x14ac:dyDescent="0.25">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5" x14ac:dyDescent="0.25">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5" x14ac:dyDescent="0.25">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5" x14ac:dyDescent="0.25">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5" x14ac:dyDescent="0.25">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5" x14ac:dyDescent="0.25">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5" x14ac:dyDescent="0.25">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5" x14ac:dyDescent="0.25">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5" x14ac:dyDescent="0.25">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5" x14ac:dyDescent="0.25">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5" x14ac:dyDescent="0.25">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5" x14ac:dyDescent="0.25">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5" x14ac:dyDescent="0.25">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5" x14ac:dyDescent="0.25">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5" x14ac:dyDescent="0.25">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5" x14ac:dyDescent="0.25">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5" x14ac:dyDescent="0.25">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5" x14ac:dyDescent="0.25">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5" x14ac:dyDescent="0.25">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5" x14ac:dyDescent="0.25">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5" x14ac:dyDescent="0.25">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5" x14ac:dyDescent="0.25">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5" x14ac:dyDescent="0.25">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5" x14ac:dyDescent="0.25">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5" x14ac:dyDescent="0.25">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5" x14ac:dyDescent="0.25">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5" x14ac:dyDescent="0.25">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5" x14ac:dyDescent="0.25">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5" x14ac:dyDescent="0.25">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5" x14ac:dyDescent="0.25">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5" x14ac:dyDescent="0.25">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5" x14ac:dyDescent="0.25">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5" x14ac:dyDescent="0.25">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5" x14ac:dyDescent="0.25">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5" x14ac:dyDescent="0.25">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5" x14ac:dyDescent="0.25">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5" x14ac:dyDescent="0.25">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5" x14ac:dyDescent="0.25">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5" x14ac:dyDescent="0.25">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5" x14ac:dyDescent="0.25">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5" x14ac:dyDescent="0.25">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5" x14ac:dyDescent="0.25">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5" x14ac:dyDescent="0.25">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5" x14ac:dyDescent="0.25">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5" x14ac:dyDescent="0.25">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5" x14ac:dyDescent="0.25">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5" x14ac:dyDescent="0.25">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5" x14ac:dyDescent="0.25">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5" x14ac:dyDescent="0.25">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5" x14ac:dyDescent="0.25">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5" x14ac:dyDescent="0.25">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5" x14ac:dyDescent="0.25">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5" x14ac:dyDescent="0.25">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5" x14ac:dyDescent="0.25">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5" x14ac:dyDescent="0.25">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5" x14ac:dyDescent="0.25">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5" x14ac:dyDescent="0.25">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5" x14ac:dyDescent="0.25">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5" x14ac:dyDescent="0.25">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5" x14ac:dyDescent="0.25">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5" x14ac:dyDescent="0.25">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5" x14ac:dyDescent="0.25">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5" x14ac:dyDescent="0.25">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5" x14ac:dyDescent="0.25">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5" x14ac:dyDescent="0.25">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5" x14ac:dyDescent="0.25">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5" x14ac:dyDescent="0.25">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5" x14ac:dyDescent="0.25">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5" x14ac:dyDescent="0.25">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5" x14ac:dyDescent="0.25">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5" x14ac:dyDescent="0.25">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5" x14ac:dyDescent="0.25">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5" x14ac:dyDescent="0.25">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5" x14ac:dyDescent="0.25">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5" x14ac:dyDescent="0.25">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5" x14ac:dyDescent="0.25">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5" x14ac:dyDescent="0.25">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5" x14ac:dyDescent="0.25">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5" x14ac:dyDescent="0.25">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5" x14ac:dyDescent="0.25">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5" x14ac:dyDescent="0.25">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5" x14ac:dyDescent="0.25">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5" x14ac:dyDescent="0.25">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5" x14ac:dyDescent="0.25">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5" x14ac:dyDescent="0.25">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5" x14ac:dyDescent="0.25">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5" x14ac:dyDescent="0.25">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5" x14ac:dyDescent="0.25">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5" x14ac:dyDescent="0.25">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5" x14ac:dyDescent="0.25">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5" x14ac:dyDescent="0.25">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5" x14ac:dyDescent="0.25">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5" x14ac:dyDescent="0.25">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5" x14ac:dyDescent="0.25">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5" x14ac:dyDescent="0.25">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5" x14ac:dyDescent="0.25">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5" x14ac:dyDescent="0.25">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5" x14ac:dyDescent="0.25">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5" x14ac:dyDescent="0.25">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5" x14ac:dyDescent="0.25">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5" x14ac:dyDescent="0.25">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5" x14ac:dyDescent="0.25">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5" x14ac:dyDescent="0.25">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5" x14ac:dyDescent="0.25">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5" x14ac:dyDescent="0.25">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5" x14ac:dyDescent="0.25">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5" x14ac:dyDescent="0.25">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5" x14ac:dyDescent="0.25">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5" x14ac:dyDescent="0.25">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5" x14ac:dyDescent="0.25">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5" x14ac:dyDescent="0.25">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5" x14ac:dyDescent="0.25">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5" x14ac:dyDescent="0.25">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5" x14ac:dyDescent="0.25">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5" x14ac:dyDescent="0.25">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5" x14ac:dyDescent="0.25">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5" x14ac:dyDescent="0.25">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5" x14ac:dyDescent="0.25">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5" x14ac:dyDescent="0.25">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5" x14ac:dyDescent="0.25">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5" x14ac:dyDescent="0.25">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5" x14ac:dyDescent="0.25">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5" x14ac:dyDescent="0.25">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5" x14ac:dyDescent="0.25">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5" x14ac:dyDescent="0.25">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5" x14ac:dyDescent="0.25">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5" x14ac:dyDescent="0.25">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5" x14ac:dyDescent="0.25">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5" x14ac:dyDescent="0.25">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5" x14ac:dyDescent="0.25">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5" x14ac:dyDescent="0.25">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5" x14ac:dyDescent="0.25">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5" x14ac:dyDescent="0.25">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5" x14ac:dyDescent="0.25">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5" x14ac:dyDescent="0.25">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5" x14ac:dyDescent="0.25">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5" x14ac:dyDescent="0.25">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5" x14ac:dyDescent="0.25">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5" x14ac:dyDescent="0.25">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5" x14ac:dyDescent="0.25">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5" x14ac:dyDescent="0.25">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5" x14ac:dyDescent="0.25">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5" x14ac:dyDescent="0.25">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5" x14ac:dyDescent="0.25">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5" x14ac:dyDescent="0.25">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5" x14ac:dyDescent="0.25">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5" x14ac:dyDescent="0.25">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5" x14ac:dyDescent="0.25">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5" x14ac:dyDescent="0.25">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5" x14ac:dyDescent="0.25">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5" x14ac:dyDescent="0.25">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5" x14ac:dyDescent="0.25">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5" x14ac:dyDescent="0.25">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5" x14ac:dyDescent="0.25">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5" x14ac:dyDescent="0.25">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5" x14ac:dyDescent="0.25">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5" x14ac:dyDescent="0.25">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5" x14ac:dyDescent="0.25">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5" x14ac:dyDescent="0.25">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5" x14ac:dyDescent="0.25">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5" x14ac:dyDescent="0.25">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5" x14ac:dyDescent="0.25">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5" x14ac:dyDescent="0.25">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5" x14ac:dyDescent="0.25">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5" x14ac:dyDescent="0.25">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5" x14ac:dyDescent="0.25">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5" x14ac:dyDescent="0.25">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5" x14ac:dyDescent="0.25">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5" x14ac:dyDescent="0.25">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5" x14ac:dyDescent="0.25">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5" x14ac:dyDescent="0.25">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5" x14ac:dyDescent="0.25">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5" x14ac:dyDescent="0.25">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5" x14ac:dyDescent="0.25">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5" x14ac:dyDescent="0.25">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5" x14ac:dyDescent="0.25">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5" x14ac:dyDescent="0.25">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5" x14ac:dyDescent="0.25">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5" x14ac:dyDescent="0.25">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5" x14ac:dyDescent="0.25">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5" x14ac:dyDescent="0.25">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5" x14ac:dyDescent="0.25">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5" x14ac:dyDescent="0.25">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5" x14ac:dyDescent="0.25">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5" x14ac:dyDescent="0.25">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5" x14ac:dyDescent="0.25">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5" x14ac:dyDescent="0.25">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5" x14ac:dyDescent="0.25">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5" x14ac:dyDescent="0.25">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5" x14ac:dyDescent="0.25">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5" x14ac:dyDescent="0.25">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5" x14ac:dyDescent="0.25">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5" x14ac:dyDescent="0.25">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5" x14ac:dyDescent="0.25">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5" x14ac:dyDescent="0.25">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5" x14ac:dyDescent="0.25">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5" x14ac:dyDescent="0.25">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5" x14ac:dyDescent="0.25">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5" x14ac:dyDescent="0.25">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5" x14ac:dyDescent="0.25">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5" x14ac:dyDescent="0.25">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5" x14ac:dyDescent="0.25">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5" x14ac:dyDescent="0.25">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5" x14ac:dyDescent="0.25">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5" x14ac:dyDescent="0.25">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5" x14ac:dyDescent="0.25">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5" x14ac:dyDescent="0.25">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5" x14ac:dyDescent="0.25">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5" x14ac:dyDescent="0.25">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5" x14ac:dyDescent="0.25">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5" x14ac:dyDescent="0.25">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5.75" thickBot="1" x14ac:dyDescent="0.3">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5.75" thickBot="1" x14ac:dyDescent="0.3">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5" x14ac:dyDescent="0.25">
      <c r="O259" s="166"/>
      <c r="P259" s="166"/>
      <c r="Q259" s="166"/>
      <c r="R259" s="166"/>
      <c r="S259" s="166"/>
      <c r="T259" s="166"/>
      <c r="U259" s="166"/>
    </row>
    <row r="260" spans="2:37" ht="15" x14ac:dyDescent="0.25">
      <c r="B260" s="132"/>
      <c r="C260" s="132"/>
    </row>
    <row r="261" spans="2:37" ht="15" x14ac:dyDescent="0.25">
      <c r="B261" s="132"/>
      <c r="C261" s="132"/>
    </row>
    <row r="262" spans="2:37" ht="15" x14ac:dyDescent="0.25">
      <c r="B262" s="132"/>
      <c r="C262" s="132"/>
    </row>
    <row r="263" spans="2:37" ht="15" x14ac:dyDescent="0.25">
      <c r="B263" s="132"/>
      <c r="C263" s="132"/>
    </row>
    <row r="264" spans="2:37" ht="15" x14ac:dyDescent="0.25">
      <c r="B264" s="132"/>
      <c r="C264" s="132"/>
    </row>
    <row r="265" spans="2:37" ht="15" x14ac:dyDescent="0.25">
      <c r="B265" s="132"/>
      <c r="C265" s="132"/>
    </row>
    <row r="266" spans="2:37" ht="15" x14ac:dyDescent="0.25">
      <c r="B266" s="132"/>
      <c r="C266" s="132"/>
    </row>
    <row r="267" spans="2:37" ht="15" hidden="1" x14ac:dyDescent="0.25">
      <c r="B267" s="132"/>
      <c r="C267" s="132"/>
    </row>
    <row r="268" spans="2:37" ht="15" hidden="1" x14ac:dyDescent="0.25">
      <c r="B268" s="132"/>
      <c r="C268" s="132"/>
    </row>
    <row r="269" spans="2:37" ht="15" hidden="1" x14ac:dyDescent="0.25">
      <c r="B269" s="132"/>
      <c r="C269" s="132"/>
    </row>
    <row r="270" spans="2:37" ht="15" hidden="1" x14ac:dyDescent="0.25">
      <c r="B270" s="132"/>
      <c r="C270" s="132"/>
    </row>
    <row r="271" spans="2:37" ht="15" hidden="1" x14ac:dyDescent="0.25">
      <c r="B271" s="132"/>
      <c r="C271" s="132"/>
    </row>
    <row r="272" spans="2:37" ht="15" hidden="1" x14ac:dyDescent="0.25">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1.28515625" style="31" customWidth="1"/>
    <col min="3" max="3" width="9.28515625" style="31" customWidth="1"/>
    <col min="4" max="4" width="60.7109375" style="31" customWidth="1"/>
    <col min="5" max="5" width="10.28515625" style="31" customWidth="1"/>
    <col min="6" max="6" width="19.140625" style="31" customWidth="1"/>
    <col min="7" max="7" width="11.85546875" style="31" customWidth="1"/>
    <col min="8" max="8" width="11.5703125" style="31" customWidth="1"/>
    <col min="9" max="9" width="12.5703125" style="31" customWidth="1"/>
    <col min="10" max="10" width="41.7109375" style="31" customWidth="1"/>
    <col min="11" max="11" width="21.140625" style="31" customWidth="1"/>
    <col min="12" max="12" width="12.28515625" style="31" customWidth="1"/>
    <col min="13" max="13" width="67.7109375" style="31" customWidth="1"/>
    <col min="14" max="14" width="12.28515625" style="31" customWidth="1"/>
    <col min="15" max="17" width="17.7109375" style="31" customWidth="1"/>
    <col min="18" max="18" width="35.5703125" style="31" customWidth="1"/>
    <col min="19" max="19" width="17.7109375" style="31" customWidth="1"/>
    <col min="20" max="20" width="15.28515625" style="31" customWidth="1"/>
    <col min="21" max="21" width="10.7109375" style="31" customWidth="1"/>
    <col min="22" max="22" width="25.28515625" style="31" customWidth="1"/>
    <col min="23" max="23" width="10.7109375" style="31" customWidth="1"/>
    <col min="24" max="24" width="12.5703125" style="31" customWidth="1"/>
    <col min="25" max="25" width="12.7109375" style="31" customWidth="1"/>
    <col min="26" max="27" width="42.5703125" style="31" customWidth="1"/>
    <col min="28" max="32" width="8.85546875" style="31" customWidth="1"/>
    <col min="33" max="33" width="15.85546875" style="31" hidden="1" customWidth="1"/>
    <col min="34" max="35" width="8.85546875" style="31" hidden="1" customWidth="1"/>
    <col min="36" max="36" width="0" style="31" hidden="1" customWidth="1"/>
    <col min="37" max="16384" width="8.85546875" style="31" hidden="1"/>
  </cols>
  <sheetData>
    <row r="1" spans="2:33" ht="15.75" customHeight="1" thickBot="1" x14ac:dyDescent="0.3"/>
    <row r="2" spans="2:33" ht="15.75" customHeight="1" thickBot="1" x14ac:dyDescent="0.3">
      <c r="B2" s="743" t="str">
        <f>IF(Start!$F$12="","",Start!$F$12)</f>
        <v/>
      </c>
      <c r="C2" s="744"/>
      <c r="D2" s="744"/>
      <c r="E2" s="745"/>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x14ac:dyDescent="0.3">
      <c r="B3" s="999" t="str">
        <f ca="1">MID(CELL("filename",A1),FIND("]",CELL("filename",A1))+1,256)</f>
        <v>E-2 Off Site Hedge Creation</v>
      </c>
      <c r="C3" s="1000"/>
      <c r="D3" s="1000"/>
      <c r="E3" s="1001"/>
      <c r="O3" s="919"/>
      <c r="P3" s="919"/>
      <c r="Q3" s="919"/>
      <c r="R3" s="919"/>
      <c r="S3" s="919"/>
      <c r="T3" s="919"/>
    </row>
    <row r="4" spans="2:33" ht="15.75" customHeight="1" thickBot="1" x14ac:dyDescent="0.3">
      <c r="B4" s="999"/>
      <c r="C4" s="1000"/>
      <c r="D4" s="1000"/>
      <c r="E4" s="1001"/>
      <c r="O4" s="919"/>
      <c r="P4" s="919"/>
      <c r="Q4" s="919"/>
      <c r="R4" s="919"/>
      <c r="S4" s="919"/>
      <c r="T4" s="919"/>
    </row>
    <row r="5" spans="2:33" ht="15.75" customHeight="1" x14ac:dyDescent="0.25">
      <c r="O5" s="919"/>
      <c r="P5" s="919"/>
      <c r="Q5" s="919"/>
      <c r="R5" s="919"/>
      <c r="S5" s="919"/>
      <c r="T5" s="919"/>
    </row>
    <row r="6" spans="2:33" ht="15.75" customHeight="1" x14ac:dyDescent="0.25">
      <c r="O6" s="402"/>
      <c r="P6" s="402"/>
      <c r="Q6" s="402"/>
      <c r="R6" s="402"/>
      <c r="S6" s="402"/>
    </row>
    <row r="7" spans="2:33" ht="15.75" customHeight="1" x14ac:dyDescent="0.25">
      <c r="B7" s="132"/>
      <c r="C7" s="132"/>
    </row>
    <row r="8" spans="2:33" ht="15"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199"/>
      <c r="P9" s="199"/>
      <c r="Q9" s="199"/>
      <c r="R9" s="199"/>
      <c r="S9" s="199"/>
      <c r="T9" s="199"/>
      <c r="U9" s="199"/>
      <c r="V9" s="199"/>
      <c r="W9" s="199"/>
      <c r="X9" s="199"/>
    </row>
    <row r="10" spans="2:33" s="42" customFormat="1" ht="30" customHeight="1" thickBot="1" x14ac:dyDescent="0.3">
      <c r="B10" s="40"/>
      <c r="C10" s="40"/>
      <c r="D10" s="966" t="s">
        <v>301</v>
      </c>
      <c r="E10" s="968"/>
      <c r="F10" s="966" t="s">
        <v>272</v>
      </c>
      <c r="G10" s="968"/>
      <c r="H10" s="967" t="s">
        <v>273</v>
      </c>
      <c r="I10" s="968"/>
      <c r="J10" s="966" t="s">
        <v>191</v>
      </c>
      <c r="K10" s="967"/>
      <c r="L10" s="968"/>
      <c r="M10" s="966" t="s">
        <v>280</v>
      </c>
      <c r="N10" s="968"/>
      <c r="O10" s="966" t="s">
        <v>228</v>
      </c>
      <c r="P10" s="967"/>
      <c r="Q10" s="967"/>
      <c r="R10" s="967"/>
      <c r="S10" s="967"/>
      <c r="T10" s="968"/>
      <c r="U10" s="966" t="s">
        <v>252</v>
      </c>
      <c r="V10" s="967"/>
      <c r="W10" s="967"/>
      <c r="X10" s="968"/>
      <c r="Y10" s="969" t="s">
        <v>302</v>
      </c>
      <c r="Z10" s="966" t="s">
        <v>196</v>
      </c>
      <c r="AA10" s="968"/>
    </row>
    <row r="11" spans="2:33" ht="57" x14ac:dyDescent="0.25">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998"/>
      <c r="Z11" s="141" t="s">
        <v>215</v>
      </c>
      <c r="AA11" s="358" t="s">
        <v>216</v>
      </c>
      <c r="AG11" s="131" t="s">
        <v>200</v>
      </c>
    </row>
    <row r="12" spans="2:33" ht="15" x14ac:dyDescent="0.25">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5" x14ac:dyDescent="0.25">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5" x14ac:dyDescent="0.25">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5" x14ac:dyDescent="0.25">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5" x14ac:dyDescent="0.25">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5" x14ac:dyDescent="0.25">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5" x14ac:dyDescent="0.25">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5" x14ac:dyDescent="0.25">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5" x14ac:dyDescent="0.25">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5" x14ac:dyDescent="0.25">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5" x14ac:dyDescent="0.25">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5" x14ac:dyDescent="0.25">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5" x14ac:dyDescent="0.25">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5" x14ac:dyDescent="0.25">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5" x14ac:dyDescent="0.25">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5" x14ac:dyDescent="0.25">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5" x14ac:dyDescent="0.25">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5" x14ac:dyDescent="0.25">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5" x14ac:dyDescent="0.25">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5" x14ac:dyDescent="0.25">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5" x14ac:dyDescent="0.25">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5" x14ac:dyDescent="0.25">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5" x14ac:dyDescent="0.25">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5" x14ac:dyDescent="0.25">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5" x14ac:dyDescent="0.25">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5" x14ac:dyDescent="0.25">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5" x14ac:dyDescent="0.25">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5" x14ac:dyDescent="0.25">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5" x14ac:dyDescent="0.25">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5" x14ac:dyDescent="0.25">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5" x14ac:dyDescent="0.25">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5" x14ac:dyDescent="0.25">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5" x14ac:dyDescent="0.25">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5" x14ac:dyDescent="0.25">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5" x14ac:dyDescent="0.25">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5" x14ac:dyDescent="0.25">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5" x14ac:dyDescent="0.25">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5" x14ac:dyDescent="0.25">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5" x14ac:dyDescent="0.25">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5" x14ac:dyDescent="0.25">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5" x14ac:dyDescent="0.25">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5" x14ac:dyDescent="0.25">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5" x14ac:dyDescent="0.25">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5" x14ac:dyDescent="0.25">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5" x14ac:dyDescent="0.25">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5" x14ac:dyDescent="0.25">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5" x14ac:dyDescent="0.25">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5" x14ac:dyDescent="0.25">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5" x14ac:dyDescent="0.25">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5" x14ac:dyDescent="0.25">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5" x14ac:dyDescent="0.25">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5" x14ac:dyDescent="0.25">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5" x14ac:dyDescent="0.25">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5" x14ac:dyDescent="0.25">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5" x14ac:dyDescent="0.25">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5" x14ac:dyDescent="0.25">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5" x14ac:dyDescent="0.25">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5" x14ac:dyDescent="0.25">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5" x14ac:dyDescent="0.25">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5" x14ac:dyDescent="0.25">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5" x14ac:dyDescent="0.25">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5" x14ac:dyDescent="0.25">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5" x14ac:dyDescent="0.25">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5" x14ac:dyDescent="0.25">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5" x14ac:dyDescent="0.25">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5" x14ac:dyDescent="0.25">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5" x14ac:dyDescent="0.25">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5" x14ac:dyDescent="0.25">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5" x14ac:dyDescent="0.25">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5" x14ac:dyDescent="0.25">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5" x14ac:dyDescent="0.25">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5" x14ac:dyDescent="0.25">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5" x14ac:dyDescent="0.25">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5" x14ac:dyDescent="0.25">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5" x14ac:dyDescent="0.25">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5" x14ac:dyDescent="0.25">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5" x14ac:dyDescent="0.25">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5" x14ac:dyDescent="0.25">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5" x14ac:dyDescent="0.25">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5" x14ac:dyDescent="0.25">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5" x14ac:dyDescent="0.25">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5" x14ac:dyDescent="0.25">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5" x14ac:dyDescent="0.25">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5" x14ac:dyDescent="0.25">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5" x14ac:dyDescent="0.25">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5" x14ac:dyDescent="0.25">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5" x14ac:dyDescent="0.25">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5" x14ac:dyDescent="0.25">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5" x14ac:dyDescent="0.25">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5" x14ac:dyDescent="0.25">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5" x14ac:dyDescent="0.25">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5" x14ac:dyDescent="0.25">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5" x14ac:dyDescent="0.25">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5" x14ac:dyDescent="0.25">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5" x14ac:dyDescent="0.25">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5" x14ac:dyDescent="0.25">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5" x14ac:dyDescent="0.25">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5" x14ac:dyDescent="0.25">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5" x14ac:dyDescent="0.25">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5" x14ac:dyDescent="0.25">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5" x14ac:dyDescent="0.25">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5" x14ac:dyDescent="0.25">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5" x14ac:dyDescent="0.25">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5" x14ac:dyDescent="0.25">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5" x14ac:dyDescent="0.25">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5" x14ac:dyDescent="0.25">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5" x14ac:dyDescent="0.25">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5" x14ac:dyDescent="0.25">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5" x14ac:dyDescent="0.25">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5" x14ac:dyDescent="0.25">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5" x14ac:dyDescent="0.25">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5" x14ac:dyDescent="0.25">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5" x14ac:dyDescent="0.25">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5" x14ac:dyDescent="0.25">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5" x14ac:dyDescent="0.25">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5" x14ac:dyDescent="0.25">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5" x14ac:dyDescent="0.25">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5" x14ac:dyDescent="0.25">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5" x14ac:dyDescent="0.25">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5" x14ac:dyDescent="0.25">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5" x14ac:dyDescent="0.25">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5" x14ac:dyDescent="0.25">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5" x14ac:dyDescent="0.25">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5" x14ac:dyDescent="0.25">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5" x14ac:dyDescent="0.25">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5" x14ac:dyDescent="0.25">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5" x14ac:dyDescent="0.25">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5" x14ac:dyDescent="0.25">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5" x14ac:dyDescent="0.25">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5" x14ac:dyDescent="0.25">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5" x14ac:dyDescent="0.25">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5" x14ac:dyDescent="0.25">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5" x14ac:dyDescent="0.25">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5" x14ac:dyDescent="0.25">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5" x14ac:dyDescent="0.25">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5" x14ac:dyDescent="0.25">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5" x14ac:dyDescent="0.25">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5" x14ac:dyDescent="0.25">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5" x14ac:dyDescent="0.25">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5" x14ac:dyDescent="0.25">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5" x14ac:dyDescent="0.25">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5" x14ac:dyDescent="0.25">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5" x14ac:dyDescent="0.25">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5" x14ac:dyDescent="0.25">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5" x14ac:dyDescent="0.25">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5" x14ac:dyDescent="0.25">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5" x14ac:dyDescent="0.25">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5" x14ac:dyDescent="0.25">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5" x14ac:dyDescent="0.25">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5" x14ac:dyDescent="0.25">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5" x14ac:dyDescent="0.25">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5" x14ac:dyDescent="0.25">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5" x14ac:dyDescent="0.25">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5" x14ac:dyDescent="0.25">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5" x14ac:dyDescent="0.25">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5" x14ac:dyDescent="0.25">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5" x14ac:dyDescent="0.25">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5" x14ac:dyDescent="0.25">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5" x14ac:dyDescent="0.25">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5" x14ac:dyDescent="0.25">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5" x14ac:dyDescent="0.25">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5" x14ac:dyDescent="0.25">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5" x14ac:dyDescent="0.25">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5" x14ac:dyDescent="0.25">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5" x14ac:dyDescent="0.25">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5" x14ac:dyDescent="0.25">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5" x14ac:dyDescent="0.25">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5" x14ac:dyDescent="0.25">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5" x14ac:dyDescent="0.25">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5" x14ac:dyDescent="0.25">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5" x14ac:dyDescent="0.25">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5" x14ac:dyDescent="0.25">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5" x14ac:dyDescent="0.25">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5" x14ac:dyDescent="0.25">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5" x14ac:dyDescent="0.25">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5" x14ac:dyDescent="0.25">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5" x14ac:dyDescent="0.25">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5" x14ac:dyDescent="0.25">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5" x14ac:dyDescent="0.25">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5" x14ac:dyDescent="0.25">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5" x14ac:dyDescent="0.25">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5" x14ac:dyDescent="0.25">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5" x14ac:dyDescent="0.25">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5" x14ac:dyDescent="0.25">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5" x14ac:dyDescent="0.25">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5" x14ac:dyDescent="0.25">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5" x14ac:dyDescent="0.25">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5" x14ac:dyDescent="0.25">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5" x14ac:dyDescent="0.25">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5" x14ac:dyDescent="0.25">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5" x14ac:dyDescent="0.25">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5" x14ac:dyDescent="0.25">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5" x14ac:dyDescent="0.25">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5" x14ac:dyDescent="0.25">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5" x14ac:dyDescent="0.25">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5" x14ac:dyDescent="0.25">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5" x14ac:dyDescent="0.25">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5" x14ac:dyDescent="0.25">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5" x14ac:dyDescent="0.25">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5" x14ac:dyDescent="0.25">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5" x14ac:dyDescent="0.25">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5" x14ac:dyDescent="0.25">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5" x14ac:dyDescent="0.25">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5" x14ac:dyDescent="0.25">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5" x14ac:dyDescent="0.25">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5" x14ac:dyDescent="0.25">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5" x14ac:dyDescent="0.25">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5" x14ac:dyDescent="0.25">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5" x14ac:dyDescent="0.25">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5" x14ac:dyDescent="0.25">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5" x14ac:dyDescent="0.25">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5" x14ac:dyDescent="0.25">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5" x14ac:dyDescent="0.25">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5" x14ac:dyDescent="0.25">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5" x14ac:dyDescent="0.25">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5" x14ac:dyDescent="0.25">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5" x14ac:dyDescent="0.25">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5" x14ac:dyDescent="0.25">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5" x14ac:dyDescent="0.25">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5" x14ac:dyDescent="0.25">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5" x14ac:dyDescent="0.25">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5" x14ac:dyDescent="0.25">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5" x14ac:dyDescent="0.25">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5" x14ac:dyDescent="0.25">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5" x14ac:dyDescent="0.25">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5" x14ac:dyDescent="0.25">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5" x14ac:dyDescent="0.25">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5" x14ac:dyDescent="0.25">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5" x14ac:dyDescent="0.25">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5" x14ac:dyDescent="0.25">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5" x14ac:dyDescent="0.25">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5" x14ac:dyDescent="0.25">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5" x14ac:dyDescent="0.25">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5" x14ac:dyDescent="0.25">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5" x14ac:dyDescent="0.25">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5" x14ac:dyDescent="0.25">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5" x14ac:dyDescent="0.25">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5" x14ac:dyDescent="0.25">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5" x14ac:dyDescent="0.25">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5" x14ac:dyDescent="0.25">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5" x14ac:dyDescent="0.25">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5" x14ac:dyDescent="0.25">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5" x14ac:dyDescent="0.25">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5" x14ac:dyDescent="0.25">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5" x14ac:dyDescent="0.25">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5" x14ac:dyDescent="0.25">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5" x14ac:dyDescent="0.25">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5.75" thickBot="1" x14ac:dyDescent="0.3">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5.75"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997"/>
      <c r="X260" s="997"/>
      <c r="Y260" s="502">
        <f>SUM(Y12:Y259)</f>
        <v>0</v>
      </c>
      <c r="Z260" s="46"/>
      <c r="AA260" s="46"/>
    </row>
    <row r="261" spans="2:33" ht="28.9" customHeight="1" x14ac:dyDescent="0.25">
      <c r="E261" s="980"/>
      <c r="F261" s="980"/>
      <c r="G261" s="980"/>
      <c r="H261" s="980"/>
      <c r="I261" s="980"/>
      <c r="J261" s="980"/>
    </row>
    <row r="262" spans="2:33" ht="27" customHeight="1" x14ac:dyDescent="0.25"/>
    <row r="263" spans="2:33" ht="15" x14ac:dyDescent="0.25"/>
    <row r="264" spans="2:33" ht="15" x14ac:dyDescent="0.25"/>
    <row r="265" spans="2:33" ht="15" x14ac:dyDescent="0.25"/>
    <row r="266" spans="2:33" ht="15" hidden="1" x14ac:dyDescent="0.25"/>
    <row r="267" spans="2:33" ht="15" hidden="1" x14ac:dyDescent="0.25"/>
    <row r="268" spans="2:33" ht="15" hidden="1" x14ac:dyDescent="0.25"/>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1" style="31" customWidth="1"/>
    <col min="3" max="3" width="52.42578125" style="31" customWidth="1"/>
    <col min="4" max="4" width="8.7109375" style="31" customWidth="1"/>
    <col min="5" max="5" width="17.85546875" style="31" customWidth="1"/>
    <col min="6" max="6" width="18.28515625" style="31" customWidth="1"/>
    <col min="7" max="7" width="18.140625" style="31" customWidth="1"/>
    <col min="8" max="11" width="19.28515625" style="31" customWidth="1"/>
    <col min="12" max="12" width="23" style="31" customWidth="1"/>
    <col min="13" max="13" width="47.42578125" style="31" customWidth="1"/>
    <col min="14" max="15" width="34.28515625" style="31" customWidth="1"/>
    <col min="16" max="16" width="10.7109375" style="31" customWidth="1"/>
    <col min="17" max="17" width="18.140625" style="31" customWidth="1"/>
    <col min="18" max="18" width="13.5703125" style="31" customWidth="1"/>
    <col min="19" max="19" width="14.7109375" style="31" customWidth="1"/>
    <col min="20" max="20" width="13.5703125" style="31" customWidth="1"/>
    <col min="21" max="21" width="41.7109375" style="31" customWidth="1"/>
    <col min="22" max="22" width="15.42578125" style="31" customWidth="1"/>
    <col min="23" max="23" width="12.28515625" style="31" customWidth="1"/>
    <col min="24" max="24" width="17.7109375" style="31" customWidth="1"/>
    <col min="25" max="25" width="20.7109375" style="31" customWidth="1"/>
    <col min="26" max="26" width="23" style="31" customWidth="1"/>
    <col min="27" max="27" width="29.5703125" style="31" customWidth="1"/>
    <col min="28" max="28" width="17.7109375" style="31" customWidth="1"/>
    <col min="29" max="29" width="15.28515625" style="31" customWidth="1"/>
    <col min="30" max="30" width="15.5703125" style="31" customWidth="1"/>
    <col min="31" max="31" width="26.28515625" style="31" customWidth="1"/>
    <col min="32" max="32" width="15.28515625" style="31" customWidth="1"/>
    <col min="33" max="33" width="12.7109375" style="31" customWidth="1"/>
    <col min="34" max="34" width="68.140625" style="31" customWidth="1"/>
    <col min="35" max="35" width="13.42578125" style="31" customWidth="1"/>
    <col min="36" max="36" width="12.7109375" style="31" customWidth="1"/>
    <col min="37" max="37" width="39" style="31" customWidth="1"/>
    <col min="38" max="38" width="38.42578125" style="31" customWidth="1"/>
    <col min="39" max="41" width="8.85546875" style="31" customWidth="1"/>
    <col min="42" max="42" width="15.85546875" style="31" hidden="1" customWidth="1"/>
    <col min="43" max="16384" width="8.85546875" style="31" hidden="1"/>
  </cols>
  <sheetData>
    <row r="1" spans="2:42" ht="15.75" customHeight="1" x14ac:dyDescent="0.25"/>
    <row r="2" spans="2:42" ht="19.899999999999999" customHeight="1" x14ac:dyDescent="0.25">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149999999999999" customHeight="1" x14ac:dyDescent="0.25">
      <c r="B3" s="1006" t="str">
        <f ca="1">MID(CELL("filename",A1),FIND("]",CELL("filename",A1))+1,256)</f>
        <v>E-3 Off Site Hedge Enhancement</v>
      </c>
      <c r="C3" s="1007"/>
      <c r="X3" s="919"/>
      <c r="Y3" s="919"/>
      <c r="Z3" s="919"/>
      <c r="AA3" s="919"/>
      <c r="AB3" s="919"/>
      <c r="AC3" s="919"/>
    </row>
    <row r="4" spans="2:42" ht="15.75" customHeight="1" x14ac:dyDescent="0.25">
      <c r="B4" s="1008"/>
      <c r="C4" s="1009"/>
      <c r="X4" s="919"/>
      <c r="Y4" s="919"/>
      <c r="Z4" s="919"/>
      <c r="AA4" s="919"/>
      <c r="AB4" s="919"/>
      <c r="AC4" s="919"/>
    </row>
    <row r="5" spans="2:42" ht="15.75" customHeight="1" x14ac:dyDescent="0.25">
      <c r="W5" s="193"/>
      <c r="X5" s="193"/>
      <c r="Y5" s="193"/>
      <c r="Z5" s="193"/>
      <c r="AA5" s="193"/>
      <c r="AB5" s="193"/>
      <c r="AC5" s="193"/>
      <c r="AD5" s="193"/>
      <c r="AE5" s="193"/>
      <c r="AF5" s="193"/>
      <c r="AG5" s="193"/>
      <c r="AH5" s="193"/>
    </row>
    <row r="6" spans="2:42" ht="27.6" customHeight="1" x14ac:dyDescent="0.25"/>
    <row r="7" spans="2:42" ht="15.75" thickBot="1" x14ac:dyDescent="0.3">
      <c r="B7" s="132"/>
      <c r="C7" s="132"/>
      <c r="M7" s="131"/>
    </row>
    <row r="8" spans="2:42" ht="15.75" thickBot="1" x14ac:dyDescent="0.3">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5.75" thickBot="1" x14ac:dyDescent="0.3">
      <c r="C9" s="131"/>
      <c r="D9" s="131"/>
      <c r="E9" s="131"/>
      <c r="F9" s="131"/>
      <c r="G9" s="131"/>
      <c r="H9" s="131"/>
      <c r="I9" s="131"/>
      <c r="J9" s="131"/>
      <c r="K9" s="131"/>
      <c r="L9" s="131"/>
      <c r="M9" s="1002" t="s">
        <v>249</v>
      </c>
      <c r="N9" s="1003"/>
      <c r="O9" s="1003"/>
      <c r="P9" s="1003"/>
      <c r="Q9" s="1003"/>
      <c r="R9" s="1003"/>
      <c r="S9" s="1003"/>
      <c r="T9" s="1003"/>
      <c r="U9" s="1003"/>
      <c r="V9" s="1003"/>
      <c r="W9" s="1003"/>
      <c r="X9" s="1003"/>
      <c r="Y9" s="1003"/>
      <c r="Z9" s="1003"/>
      <c r="AA9" s="1003"/>
      <c r="AB9" s="1003"/>
      <c r="AC9" s="1003"/>
      <c r="AD9" s="1003"/>
      <c r="AE9" s="1003"/>
      <c r="AF9" s="1003"/>
      <c r="AG9" s="1003"/>
      <c r="AH9" s="1003"/>
      <c r="AI9" s="1004"/>
    </row>
    <row r="10" spans="2:42" s="42" customFormat="1" ht="30" customHeight="1" thickBot="1" x14ac:dyDescent="0.3">
      <c r="C10" s="1005" t="s">
        <v>247</v>
      </c>
      <c r="D10" s="1011"/>
      <c r="E10" s="1011"/>
      <c r="F10" s="1011"/>
      <c r="G10" s="1011"/>
      <c r="H10" s="1011"/>
      <c r="I10" s="1011"/>
      <c r="J10" s="1011"/>
      <c r="K10" s="1011"/>
      <c r="L10" s="1012"/>
      <c r="M10" s="1005" t="s">
        <v>1557</v>
      </c>
      <c r="N10" s="879" t="s">
        <v>308</v>
      </c>
      <c r="O10" s="877"/>
      <c r="P10" s="938" t="s">
        <v>294</v>
      </c>
      <c r="Q10" s="879" t="s">
        <v>189</v>
      </c>
      <c r="R10" s="877"/>
      <c r="S10" s="879" t="s">
        <v>190</v>
      </c>
      <c r="T10" s="877"/>
      <c r="U10" s="966" t="s">
        <v>191</v>
      </c>
      <c r="V10" s="967"/>
      <c r="W10" s="968"/>
      <c r="X10" s="966" t="s">
        <v>228</v>
      </c>
      <c r="Y10" s="967"/>
      <c r="Z10" s="967"/>
      <c r="AA10" s="967"/>
      <c r="AB10" s="967"/>
      <c r="AC10" s="968"/>
      <c r="AD10" s="939" t="s">
        <v>252</v>
      </c>
      <c r="AE10" s="939"/>
      <c r="AF10" s="939"/>
      <c r="AG10" s="939"/>
      <c r="AH10" s="133" t="s">
        <v>280</v>
      </c>
      <c r="AI10" s="969" t="s">
        <v>280</v>
      </c>
      <c r="AJ10" s="969" t="s">
        <v>302</v>
      </c>
      <c r="AK10" s="966" t="s">
        <v>196</v>
      </c>
      <c r="AL10" s="968"/>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5"/>
      <c r="N11" s="141" t="s">
        <v>310</v>
      </c>
      <c r="O11" s="358" t="s">
        <v>311</v>
      </c>
      <c r="P11" s="939"/>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0"/>
      <c r="AJ11" s="996"/>
      <c r="AK11" s="141" t="s">
        <v>215</v>
      </c>
      <c r="AL11" s="358" t="s">
        <v>216</v>
      </c>
      <c r="AP11" s="131" t="s">
        <v>200</v>
      </c>
    </row>
    <row r="12" spans="2:42" ht="15" x14ac:dyDescent="0.25">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5" x14ac:dyDescent="0.25">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5" x14ac:dyDescent="0.25">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5" x14ac:dyDescent="0.25">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5" x14ac:dyDescent="0.25">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5" x14ac:dyDescent="0.25">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5" x14ac:dyDescent="0.25">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5" x14ac:dyDescent="0.25">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5" x14ac:dyDescent="0.25">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5" x14ac:dyDescent="0.25">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5" x14ac:dyDescent="0.25">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5" x14ac:dyDescent="0.25">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5" x14ac:dyDescent="0.25">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5" x14ac:dyDescent="0.25">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5" x14ac:dyDescent="0.25">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5" x14ac:dyDescent="0.25">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5" x14ac:dyDescent="0.25">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5" x14ac:dyDescent="0.25">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5" x14ac:dyDescent="0.25">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5" x14ac:dyDescent="0.25">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5" x14ac:dyDescent="0.25">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5" x14ac:dyDescent="0.25">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5" x14ac:dyDescent="0.25">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5" x14ac:dyDescent="0.25">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5" x14ac:dyDescent="0.25">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5" x14ac:dyDescent="0.25">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5" x14ac:dyDescent="0.25">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5" x14ac:dyDescent="0.25">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5" x14ac:dyDescent="0.25">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5" x14ac:dyDescent="0.25">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5" x14ac:dyDescent="0.25">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5" x14ac:dyDescent="0.25">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5" x14ac:dyDescent="0.25">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5" x14ac:dyDescent="0.25">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5" x14ac:dyDescent="0.25">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5" x14ac:dyDescent="0.25">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5" x14ac:dyDescent="0.25">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5" x14ac:dyDescent="0.25">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5" x14ac:dyDescent="0.25">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5" x14ac:dyDescent="0.25">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5" x14ac:dyDescent="0.25">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5" x14ac:dyDescent="0.25">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5" x14ac:dyDescent="0.25">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5" x14ac:dyDescent="0.25">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5" x14ac:dyDescent="0.25">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5" x14ac:dyDescent="0.25">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5" x14ac:dyDescent="0.25">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5" x14ac:dyDescent="0.25">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5" x14ac:dyDescent="0.25">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5" x14ac:dyDescent="0.25">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5" x14ac:dyDescent="0.25">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5" x14ac:dyDescent="0.25">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5" x14ac:dyDescent="0.25">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5" x14ac:dyDescent="0.25">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5" x14ac:dyDescent="0.25">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5" x14ac:dyDescent="0.25">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5" x14ac:dyDescent="0.25">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5" x14ac:dyDescent="0.25">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5" x14ac:dyDescent="0.25">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5" x14ac:dyDescent="0.25">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5" x14ac:dyDescent="0.25">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5" x14ac:dyDescent="0.25">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5" x14ac:dyDescent="0.25">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5" x14ac:dyDescent="0.25">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5" x14ac:dyDescent="0.25">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5" x14ac:dyDescent="0.25">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5" x14ac:dyDescent="0.25">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5" x14ac:dyDescent="0.25">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5" x14ac:dyDescent="0.25">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5" x14ac:dyDescent="0.25">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5" x14ac:dyDescent="0.25">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5" x14ac:dyDescent="0.25">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5" x14ac:dyDescent="0.25">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5" x14ac:dyDescent="0.25">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5" x14ac:dyDescent="0.25">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5" x14ac:dyDescent="0.25">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5" x14ac:dyDescent="0.25">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5" x14ac:dyDescent="0.25">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5" x14ac:dyDescent="0.25">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5" x14ac:dyDescent="0.25">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5" x14ac:dyDescent="0.25">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5" x14ac:dyDescent="0.25">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5" x14ac:dyDescent="0.25">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5" x14ac:dyDescent="0.25">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5" x14ac:dyDescent="0.25">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5" x14ac:dyDescent="0.25">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5" x14ac:dyDescent="0.25">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5" x14ac:dyDescent="0.25">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5" x14ac:dyDescent="0.25">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5" x14ac:dyDescent="0.25">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5" x14ac:dyDescent="0.25">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5" x14ac:dyDescent="0.25">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5" x14ac:dyDescent="0.25">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5" x14ac:dyDescent="0.25">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5" x14ac:dyDescent="0.25">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5" x14ac:dyDescent="0.25">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5" x14ac:dyDescent="0.25">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5" x14ac:dyDescent="0.25">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5" x14ac:dyDescent="0.25">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5" x14ac:dyDescent="0.25">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5" x14ac:dyDescent="0.25">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5" x14ac:dyDescent="0.25">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5" x14ac:dyDescent="0.25">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5" x14ac:dyDescent="0.25">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5" x14ac:dyDescent="0.25">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5" x14ac:dyDescent="0.25">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5" x14ac:dyDescent="0.25">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5" x14ac:dyDescent="0.25">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5" x14ac:dyDescent="0.25">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5" x14ac:dyDescent="0.25">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5" x14ac:dyDescent="0.25">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5" x14ac:dyDescent="0.25">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5" x14ac:dyDescent="0.25">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5" x14ac:dyDescent="0.25">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5" x14ac:dyDescent="0.25">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5" x14ac:dyDescent="0.25">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5" x14ac:dyDescent="0.25">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5" x14ac:dyDescent="0.25">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5" x14ac:dyDescent="0.25">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5" x14ac:dyDescent="0.25">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5" x14ac:dyDescent="0.25">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5" x14ac:dyDescent="0.25">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5" x14ac:dyDescent="0.25">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5" x14ac:dyDescent="0.25">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5" x14ac:dyDescent="0.25">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5" x14ac:dyDescent="0.25">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5" x14ac:dyDescent="0.25">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5" x14ac:dyDescent="0.25">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5" x14ac:dyDescent="0.25">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5" x14ac:dyDescent="0.25">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5" x14ac:dyDescent="0.25">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5" x14ac:dyDescent="0.25">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5" x14ac:dyDescent="0.25">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5" x14ac:dyDescent="0.25">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5" x14ac:dyDescent="0.25">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5" x14ac:dyDescent="0.25">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5" x14ac:dyDescent="0.25">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5" x14ac:dyDescent="0.25">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5" x14ac:dyDescent="0.25">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5" x14ac:dyDescent="0.25">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5" x14ac:dyDescent="0.25">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5" x14ac:dyDescent="0.25">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5" x14ac:dyDescent="0.25">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5" x14ac:dyDescent="0.25">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5" x14ac:dyDescent="0.25">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5" x14ac:dyDescent="0.25">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5" x14ac:dyDescent="0.25">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5" x14ac:dyDescent="0.25">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5" x14ac:dyDescent="0.25">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5" x14ac:dyDescent="0.25">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5" x14ac:dyDescent="0.25">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5" x14ac:dyDescent="0.25">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5" x14ac:dyDescent="0.25">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5" x14ac:dyDescent="0.25">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5" x14ac:dyDescent="0.25">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5" x14ac:dyDescent="0.25">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5" x14ac:dyDescent="0.25">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5" x14ac:dyDescent="0.25">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5" x14ac:dyDescent="0.25">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5" x14ac:dyDescent="0.25">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5" x14ac:dyDescent="0.25">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5" x14ac:dyDescent="0.25">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5" x14ac:dyDescent="0.25">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5" x14ac:dyDescent="0.25">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5" x14ac:dyDescent="0.25">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5" x14ac:dyDescent="0.25">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5" x14ac:dyDescent="0.25">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5" x14ac:dyDescent="0.25">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5" x14ac:dyDescent="0.25">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5" x14ac:dyDescent="0.25">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5" x14ac:dyDescent="0.25">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5" x14ac:dyDescent="0.25">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5" x14ac:dyDescent="0.25">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5" x14ac:dyDescent="0.25">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5" x14ac:dyDescent="0.25">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5" x14ac:dyDescent="0.25">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5" x14ac:dyDescent="0.25">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5" x14ac:dyDescent="0.25">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5" x14ac:dyDescent="0.25">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5" x14ac:dyDescent="0.25">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5" x14ac:dyDescent="0.25">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5" x14ac:dyDescent="0.25">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5" x14ac:dyDescent="0.25">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5" x14ac:dyDescent="0.25">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5" x14ac:dyDescent="0.25">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5" x14ac:dyDescent="0.25">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5" x14ac:dyDescent="0.25">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5" x14ac:dyDescent="0.25">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5" x14ac:dyDescent="0.25">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5" x14ac:dyDescent="0.25">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5" x14ac:dyDescent="0.25">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5" x14ac:dyDescent="0.25">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5" x14ac:dyDescent="0.25">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5" x14ac:dyDescent="0.25">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5" x14ac:dyDescent="0.25">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5" x14ac:dyDescent="0.25">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5" x14ac:dyDescent="0.25">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5" x14ac:dyDescent="0.25">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5" x14ac:dyDescent="0.25">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5" x14ac:dyDescent="0.25">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5" x14ac:dyDescent="0.25">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5" x14ac:dyDescent="0.25">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5" x14ac:dyDescent="0.25">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5" x14ac:dyDescent="0.25">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5" x14ac:dyDescent="0.25">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5" x14ac:dyDescent="0.25">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5" x14ac:dyDescent="0.25">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5" x14ac:dyDescent="0.25">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5" x14ac:dyDescent="0.25">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5" x14ac:dyDescent="0.25">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5" x14ac:dyDescent="0.25">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5" x14ac:dyDescent="0.25">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5" x14ac:dyDescent="0.25">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5" x14ac:dyDescent="0.25">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5" x14ac:dyDescent="0.25">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5" x14ac:dyDescent="0.25">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5" x14ac:dyDescent="0.25">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5" x14ac:dyDescent="0.25">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5" x14ac:dyDescent="0.25">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5" x14ac:dyDescent="0.25">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5" x14ac:dyDescent="0.25">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5" x14ac:dyDescent="0.25">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5" x14ac:dyDescent="0.25">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5" x14ac:dyDescent="0.25">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5" x14ac:dyDescent="0.25">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5" x14ac:dyDescent="0.25">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5" x14ac:dyDescent="0.25">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5" x14ac:dyDescent="0.25">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5" x14ac:dyDescent="0.25">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5" x14ac:dyDescent="0.25">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5" x14ac:dyDescent="0.25">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5" x14ac:dyDescent="0.25">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5" x14ac:dyDescent="0.25">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5" x14ac:dyDescent="0.25">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5" x14ac:dyDescent="0.25">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5" x14ac:dyDescent="0.25">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5" x14ac:dyDescent="0.25">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5" x14ac:dyDescent="0.25">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5" x14ac:dyDescent="0.25">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5" x14ac:dyDescent="0.25">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5" x14ac:dyDescent="0.25">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5" x14ac:dyDescent="0.25">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5" x14ac:dyDescent="0.25">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5" x14ac:dyDescent="0.25">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5" x14ac:dyDescent="0.25">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5.75" thickBot="1" x14ac:dyDescent="0.3">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5.75" thickBot="1" x14ac:dyDescent="0.3">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5" x14ac:dyDescent="0.25"/>
    <row r="260" spans="2:42" ht="15" x14ac:dyDescent="0.25"/>
    <row r="261" spans="2:42" ht="15" x14ac:dyDescent="0.25"/>
    <row r="262" spans="2:42" ht="15" x14ac:dyDescent="0.25"/>
    <row r="263" spans="2:42" ht="15" x14ac:dyDescent="0.25"/>
    <row r="264" spans="2:42" ht="15" x14ac:dyDescent="0.25"/>
    <row r="265" spans="2:42" ht="15" x14ac:dyDescent="0.25"/>
    <row r="266" spans="2:42" ht="15"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28515625" style="132" customWidth="1"/>
    <col min="3" max="3" width="12.7109375" style="132" customWidth="1"/>
    <col min="4" max="4" width="55" style="31" customWidth="1"/>
    <col min="5" max="5" width="8.5703125" style="31" customWidth="1"/>
    <col min="6" max="6" width="17.7109375" style="31" customWidth="1"/>
    <col min="7" max="7" width="8.7109375" style="31" customWidth="1"/>
    <col min="8" max="8" width="14.28515625" style="31" bestFit="1" customWidth="1"/>
    <col min="9" max="9" width="13.140625" style="31" customWidth="1"/>
    <col min="10" max="10" width="33.7109375" style="31" customWidth="1"/>
    <col min="11" max="11" width="14.85546875" style="31" customWidth="1"/>
    <col min="12" max="12" width="13.140625" style="31" customWidth="1"/>
    <col min="13" max="13" width="17.28515625" style="31" customWidth="1"/>
    <col min="14" max="14" width="13.5703125" style="31" customWidth="1"/>
    <col min="15" max="15" width="16.28515625" style="31" customWidth="1"/>
    <col min="16" max="16" width="14.42578125" style="31" customWidth="1"/>
    <col min="17" max="17" width="14.28515625" style="31" customWidth="1"/>
    <col min="18" max="18" width="15" style="31" customWidth="1"/>
    <col min="19" max="19" width="3.7109375" style="31" customWidth="1"/>
    <col min="20" max="21" width="12.28515625" style="31" customWidth="1"/>
    <col min="22" max="22" width="13.42578125" style="31" customWidth="1"/>
    <col min="23" max="23" width="12.140625" style="31" customWidth="1"/>
    <col min="24" max="24" width="10.42578125" style="31" customWidth="1"/>
    <col min="25" max="25" width="11" style="31" customWidth="1"/>
    <col min="26" max="27" width="50.140625" style="31" customWidth="1"/>
    <col min="28" max="30" width="8.85546875" style="31" customWidth="1"/>
    <col min="31" max="36" width="8.85546875" style="31" hidden="1" customWidth="1"/>
    <col min="37" max="37" width="11.85546875" style="31" hidden="1" customWidth="1"/>
    <col min="38" max="41" width="8.85546875" style="31" hidden="1" customWidth="1"/>
    <col min="42" max="42" width="19.5703125" style="31" hidden="1" customWidth="1"/>
    <col min="43" max="43" width="35" style="31" hidden="1" customWidth="1"/>
    <col min="44" max="16384" width="8.85546875" style="31" hidden="1"/>
  </cols>
  <sheetData>
    <row r="1" spans="2:42" ht="12.75" customHeight="1" thickBot="1" x14ac:dyDescent="0.3">
      <c r="B1" s="31"/>
      <c r="C1" s="31"/>
    </row>
    <row r="2" spans="2:42" ht="19.5" customHeight="1" thickBot="1" x14ac:dyDescent="0.3">
      <c r="B2" s="986" t="str">
        <f>IF([2]Start!F12="","",[2]Start!F12)</f>
        <v/>
      </c>
      <c r="C2" s="987"/>
      <c r="D2" s="988"/>
    </row>
    <row r="3" spans="2:42" ht="15" customHeight="1" x14ac:dyDescent="0.25">
      <c r="B3" s="1015" t="str">
        <f ca="1">MID(CELL("filename",A1),FIND("]",CELL("filename",A1))+1,256)</f>
        <v>C-1 Site River Baseline</v>
      </c>
      <c r="C3" s="1016"/>
      <c r="D3" s="1017"/>
    </row>
    <row r="4" spans="2:42" ht="19.899999999999999" customHeight="1" thickBot="1" x14ac:dyDescent="0.3">
      <c r="B4" s="943"/>
      <c r="C4" s="944"/>
      <c r="D4" s="945"/>
    </row>
    <row r="5" spans="2:42" ht="19.149999999999999" customHeight="1" x14ac:dyDescent="0.25">
      <c r="B5" s="31"/>
      <c r="C5" s="31"/>
      <c r="F5" s="131"/>
      <c r="T5" s="1018" t="str">
        <f>IF(SUM(AG10:AG257)&gt;0,"Check Lengths ⚠","")</f>
        <v/>
      </c>
      <c r="U5" s="1018"/>
      <c r="V5" s="1018"/>
      <c r="W5" s="1018"/>
      <c r="X5" s="1018"/>
      <c r="Y5" s="1018"/>
    </row>
    <row r="6" spans="2:42" ht="15.75" customHeight="1" x14ac:dyDescent="0.25">
      <c r="B6" s="31"/>
      <c r="C6" s="31"/>
      <c r="T6" s="1018"/>
      <c r="U6" s="1018"/>
      <c r="V6" s="1018"/>
      <c r="W6" s="1018"/>
      <c r="X6" s="1018"/>
      <c r="Y6" s="1018"/>
    </row>
    <row r="7" spans="2:42" ht="46.15" customHeight="1" thickBot="1" x14ac:dyDescent="0.3"/>
    <row r="8" spans="2:42" ht="29.25" thickBot="1" x14ac:dyDescent="0.3">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85" t="s">
        <v>196</v>
      </c>
      <c r="AA8" s="985"/>
    </row>
    <row r="9" spans="2:42" ht="43.5" thickBot="1" x14ac:dyDescent="0.3">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39"/>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5" x14ac:dyDescent="0.25">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5" x14ac:dyDescent="0.25">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5" x14ac:dyDescent="0.25">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5" x14ac:dyDescent="0.25">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5" x14ac:dyDescent="0.25">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5" x14ac:dyDescent="0.25">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5" customHeight="1" x14ac:dyDescent="0.25">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5" x14ac:dyDescent="0.25">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5" x14ac:dyDescent="0.25">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5" x14ac:dyDescent="0.25">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5" x14ac:dyDescent="0.25">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5" x14ac:dyDescent="0.25">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5" x14ac:dyDescent="0.25">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5" x14ac:dyDescent="0.25">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5" x14ac:dyDescent="0.25">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5" x14ac:dyDescent="0.25">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5" x14ac:dyDescent="0.25">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5" x14ac:dyDescent="0.25">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5" x14ac:dyDescent="0.25">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5" x14ac:dyDescent="0.25">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5" x14ac:dyDescent="0.25">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5" x14ac:dyDescent="0.25">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5" x14ac:dyDescent="0.25">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5" x14ac:dyDescent="0.25">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5" x14ac:dyDescent="0.25">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5" x14ac:dyDescent="0.25">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5" x14ac:dyDescent="0.25">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5" x14ac:dyDescent="0.25">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5" x14ac:dyDescent="0.25">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5" x14ac:dyDescent="0.25">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5" x14ac:dyDescent="0.25">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5" x14ac:dyDescent="0.25">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5" x14ac:dyDescent="0.25">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5" x14ac:dyDescent="0.25">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5" x14ac:dyDescent="0.25">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5" x14ac:dyDescent="0.25">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5" x14ac:dyDescent="0.25">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5" x14ac:dyDescent="0.25">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5" x14ac:dyDescent="0.25">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5" x14ac:dyDescent="0.25">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5" x14ac:dyDescent="0.25">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5" x14ac:dyDescent="0.25">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5" x14ac:dyDescent="0.25">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5" x14ac:dyDescent="0.25">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5" x14ac:dyDescent="0.25">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5" x14ac:dyDescent="0.25">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5" x14ac:dyDescent="0.25">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5" x14ac:dyDescent="0.25">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5" x14ac:dyDescent="0.25">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5" x14ac:dyDescent="0.25">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5" x14ac:dyDescent="0.25">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5" x14ac:dyDescent="0.25">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5" x14ac:dyDescent="0.25">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5" x14ac:dyDescent="0.25">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5" x14ac:dyDescent="0.25">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5" x14ac:dyDescent="0.25">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5" x14ac:dyDescent="0.25">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5" x14ac:dyDescent="0.25">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5" x14ac:dyDescent="0.25">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5" x14ac:dyDescent="0.25">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5" x14ac:dyDescent="0.25">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5" x14ac:dyDescent="0.25">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5" x14ac:dyDescent="0.25">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5" x14ac:dyDescent="0.25">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5" x14ac:dyDescent="0.25">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5" x14ac:dyDescent="0.25">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5" x14ac:dyDescent="0.25">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5" x14ac:dyDescent="0.25">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5" x14ac:dyDescent="0.25">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5" x14ac:dyDescent="0.25">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5" x14ac:dyDescent="0.25">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5" x14ac:dyDescent="0.25">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5" x14ac:dyDescent="0.25">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5" x14ac:dyDescent="0.25">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5" x14ac:dyDescent="0.25">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5" x14ac:dyDescent="0.25">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5" x14ac:dyDescent="0.25">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5" x14ac:dyDescent="0.25">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5" x14ac:dyDescent="0.25">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5" x14ac:dyDescent="0.25">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5" x14ac:dyDescent="0.25">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5" x14ac:dyDescent="0.25">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5" x14ac:dyDescent="0.25">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5" x14ac:dyDescent="0.25">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5" x14ac:dyDescent="0.25">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5" x14ac:dyDescent="0.25">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5" x14ac:dyDescent="0.25">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5" x14ac:dyDescent="0.25">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5" x14ac:dyDescent="0.25">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5" x14ac:dyDescent="0.25">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5" x14ac:dyDescent="0.25">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5" x14ac:dyDescent="0.25">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5" x14ac:dyDescent="0.25">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5" x14ac:dyDescent="0.25">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5" x14ac:dyDescent="0.25">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5" x14ac:dyDescent="0.25">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5" x14ac:dyDescent="0.25">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5" x14ac:dyDescent="0.25">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5" x14ac:dyDescent="0.25">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5" x14ac:dyDescent="0.25">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5" x14ac:dyDescent="0.25">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5" x14ac:dyDescent="0.25">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5" x14ac:dyDescent="0.25">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5" x14ac:dyDescent="0.25">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5" x14ac:dyDescent="0.25">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5" x14ac:dyDescent="0.25">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5" x14ac:dyDescent="0.25">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5" x14ac:dyDescent="0.25">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5" x14ac:dyDescent="0.25">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5" x14ac:dyDescent="0.25">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5" x14ac:dyDescent="0.25">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5" x14ac:dyDescent="0.25">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5" x14ac:dyDescent="0.25">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5" x14ac:dyDescent="0.25">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5" x14ac:dyDescent="0.25">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5" x14ac:dyDescent="0.25">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5" x14ac:dyDescent="0.25">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5" x14ac:dyDescent="0.25">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5" x14ac:dyDescent="0.25">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5" x14ac:dyDescent="0.25">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5" x14ac:dyDescent="0.25">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5" x14ac:dyDescent="0.25">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5" x14ac:dyDescent="0.25">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5" x14ac:dyDescent="0.25">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5" x14ac:dyDescent="0.25">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5" x14ac:dyDescent="0.25">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5" x14ac:dyDescent="0.25">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5" x14ac:dyDescent="0.25">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5" x14ac:dyDescent="0.25">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5" x14ac:dyDescent="0.25">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5" x14ac:dyDescent="0.25">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5" x14ac:dyDescent="0.25">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5" x14ac:dyDescent="0.25">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5" x14ac:dyDescent="0.25">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5" x14ac:dyDescent="0.25">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5" x14ac:dyDescent="0.25">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5" x14ac:dyDescent="0.25">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5" x14ac:dyDescent="0.25">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5" x14ac:dyDescent="0.25">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5" x14ac:dyDescent="0.25">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5" x14ac:dyDescent="0.25">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5" x14ac:dyDescent="0.25">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5" x14ac:dyDescent="0.25">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5" x14ac:dyDescent="0.25">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5" x14ac:dyDescent="0.25">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5" x14ac:dyDescent="0.25">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5" x14ac:dyDescent="0.25">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5" x14ac:dyDescent="0.25">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5" x14ac:dyDescent="0.25">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5" x14ac:dyDescent="0.25">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5" x14ac:dyDescent="0.25">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5" x14ac:dyDescent="0.25">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5" x14ac:dyDescent="0.25">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5" x14ac:dyDescent="0.25">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5" x14ac:dyDescent="0.25">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5" x14ac:dyDescent="0.25">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5" x14ac:dyDescent="0.25">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5" x14ac:dyDescent="0.25">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5" x14ac:dyDescent="0.25">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5" x14ac:dyDescent="0.25">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5" x14ac:dyDescent="0.25">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5" x14ac:dyDescent="0.25">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5" x14ac:dyDescent="0.25">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5" x14ac:dyDescent="0.25">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5" x14ac:dyDescent="0.25">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5" x14ac:dyDescent="0.25">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5" x14ac:dyDescent="0.25">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5" x14ac:dyDescent="0.25">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5" x14ac:dyDescent="0.25">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5" x14ac:dyDescent="0.25">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5" x14ac:dyDescent="0.25">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5" x14ac:dyDescent="0.25">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5" x14ac:dyDescent="0.25">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5" x14ac:dyDescent="0.25">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5" x14ac:dyDescent="0.25">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5" x14ac:dyDescent="0.25">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5" x14ac:dyDescent="0.25">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5" x14ac:dyDescent="0.25">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5" x14ac:dyDescent="0.25">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5" x14ac:dyDescent="0.25">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5" x14ac:dyDescent="0.25">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5" x14ac:dyDescent="0.25">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5" x14ac:dyDescent="0.25">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5" x14ac:dyDescent="0.25">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5" x14ac:dyDescent="0.25">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5" x14ac:dyDescent="0.25">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5" x14ac:dyDescent="0.25">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5" x14ac:dyDescent="0.25">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5" x14ac:dyDescent="0.25">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5" x14ac:dyDescent="0.25">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5" x14ac:dyDescent="0.25">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5" x14ac:dyDescent="0.25">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5" x14ac:dyDescent="0.25">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5" x14ac:dyDescent="0.25">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5" x14ac:dyDescent="0.25">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5" x14ac:dyDescent="0.25">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5" x14ac:dyDescent="0.25">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5" x14ac:dyDescent="0.25">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5" x14ac:dyDescent="0.25">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5" x14ac:dyDescent="0.25">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5" x14ac:dyDescent="0.25">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5" x14ac:dyDescent="0.25">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5" x14ac:dyDescent="0.25">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5" x14ac:dyDescent="0.25">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5" x14ac:dyDescent="0.25">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5" x14ac:dyDescent="0.25">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5" x14ac:dyDescent="0.25">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5" x14ac:dyDescent="0.25">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5" x14ac:dyDescent="0.25">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5" x14ac:dyDescent="0.25">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5" x14ac:dyDescent="0.25">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5" x14ac:dyDescent="0.25">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5" x14ac:dyDescent="0.25">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5" x14ac:dyDescent="0.25">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5" x14ac:dyDescent="0.25">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5" x14ac:dyDescent="0.25">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5" x14ac:dyDescent="0.25">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5" x14ac:dyDescent="0.25">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5" x14ac:dyDescent="0.25">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5" x14ac:dyDescent="0.25">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5" x14ac:dyDescent="0.25">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5" x14ac:dyDescent="0.25">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5" x14ac:dyDescent="0.25">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5" x14ac:dyDescent="0.25">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5" x14ac:dyDescent="0.25">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5" x14ac:dyDescent="0.25">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5" x14ac:dyDescent="0.25">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5" x14ac:dyDescent="0.25">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5" x14ac:dyDescent="0.25">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5" x14ac:dyDescent="0.25">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5" x14ac:dyDescent="0.25">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5" x14ac:dyDescent="0.25">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5" x14ac:dyDescent="0.25">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5" x14ac:dyDescent="0.25">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5" x14ac:dyDescent="0.25">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5" x14ac:dyDescent="0.25">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5" x14ac:dyDescent="0.25">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5" x14ac:dyDescent="0.25">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5" x14ac:dyDescent="0.25">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5" x14ac:dyDescent="0.25">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5" x14ac:dyDescent="0.25">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5" x14ac:dyDescent="0.25">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5" x14ac:dyDescent="0.25">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5" x14ac:dyDescent="0.25">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5" x14ac:dyDescent="0.25">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25">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3">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3">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5" x14ac:dyDescent="0.25">
      <c r="B259" s="31"/>
      <c r="C259" s="31"/>
      <c r="S259" s="166"/>
      <c r="T259" s="166"/>
      <c r="U259" s="166"/>
      <c r="V259" s="166"/>
      <c r="W259" s="166"/>
      <c r="X259" s="166"/>
      <c r="Y259" s="166"/>
    </row>
    <row r="260" spans="2:42" ht="15" x14ac:dyDescent="0.25"/>
    <row r="261" spans="2:42" ht="15" x14ac:dyDescent="0.25"/>
    <row r="262" spans="2:42" ht="15" x14ac:dyDescent="0.25"/>
    <row r="263" spans="2:42" ht="15" x14ac:dyDescent="0.25"/>
    <row r="264" spans="2:42" ht="15" x14ac:dyDescent="0.25"/>
    <row r="265" spans="2:42" ht="15" x14ac:dyDescent="0.25"/>
    <row r="266" spans="2:42" ht="15" x14ac:dyDescent="0.25"/>
    <row r="267" spans="2:42" ht="15" x14ac:dyDescent="0.25"/>
    <row r="268" spans="2:42" ht="15" x14ac:dyDescent="0.25"/>
    <row r="269" spans="2:42" ht="15" x14ac:dyDescent="0.25"/>
    <row r="270" spans="2:42" ht="15" x14ac:dyDescent="0.25"/>
    <row r="271" spans="2:42" ht="15" x14ac:dyDescent="0.25"/>
    <row r="272" spans="2:42" ht="15" x14ac:dyDescent="0.25"/>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7109375" style="31" customWidth="1"/>
    <col min="3" max="3" width="41" style="31" customWidth="1"/>
    <col min="4" max="4" width="10" style="31" customWidth="1"/>
    <col min="5" max="5" width="18.28515625" style="31" customWidth="1"/>
    <col min="6" max="6" width="13.140625" style="31" customWidth="1"/>
    <col min="7" max="7" width="12.5703125" style="31" bestFit="1" customWidth="1"/>
    <col min="8" max="8" width="12.5703125" style="31" customWidth="1"/>
    <col min="9" max="9" width="33.7109375" style="31" customWidth="1"/>
    <col min="10" max="10" width="22.28515625" style="31" customWidth="1"/>
    <col min="11" max="11" width="12.28515625" style="31" customWidth="1"/>
    <col min="12" max="14" width="17.7109375" style="31" customWidth="1"/>
    <col min="15" max="15" width="23.5703125" style="31" customWidth="1"/>
    <col min="16" max="16" width="17.7109375" style="31" customWidth="1"/>
    <col min="17" max="17" width="15.28515625" style="31" customWidth="1"/>
    <col min="18" max="18" width="10.7109375" style="31" customWidth="1"/>
    <col min="19" max="19" width="21.85546875" style="31" customWidth="1"/>
    <col min="20" max="20" width="15.5703125" style="31" customWidth="1"/>
    <col min="21" max="21" width="13.85546875" style="31" customWidth="1"/>
    <col min="22" max="22" width="17.85546875" style="31" customWidth="1"/>
    <col min="23" max="23" width="12.28515625" style="31" customWidth="1"/>
    <col min="24" max="24" width="21.28515625" style="31" customWidth="1"/>
    <col min="25" max="25" width="13.28515625" style="31" customWidth="1"/>
    <col min="26" max="26" width="17.28515625" style="31" customWidth="1"/>
    <col min="27" max="28" width="34.85546875" style="31" customWidth="1"/>
    <col min="29" max="32" width="8.85546875" style="31" customWidth="1"/>
    <col min="33" max="33" width="8.85546875" style="31" hidden="1" customWidth="1"/>
    <col min="34" max="34" width="10.85546875" style="31" hidden="1" customWidth="1"/>
    <col min="35" max="16384" width="8.85546875" style="31" hidden="1"/>
  </cols>
  <sheetData>
    <row r="1" spans="2:34" ht="15.75" hidden="1" thickBot="1" x14ac:dyDescent="0.3"/>
    <row r="2" spans="2:34" ht="24.6" customHeight="1" thickBot="1" x14ac:dyDescent="0.3">
      <c r="B2" s="986" t="str">
        <f>IF([2]Start!F12="","",[2]Start!F12)</f>
        <v/>
      </c>
      <c r="C2" s="987"/>
      <c r="D2" s="987"/>
      <c r="E2" s="988"/>
    </row>
    <row r="3" spans="2:34" ht="15.6" customHeight="1" thickBot="1" x14ac:dyDescent="0.3">
      <c r="B3" s="1019" t="str">
        <f ca="1">MID(CELL("filename",A1),FIND("]",CELL("filename",A1))+1,256)</f>
        <v>C-2 Site River Creation</v>
      </c>
      <c r="C3" s="1020"/>
      <c r="D3" s="1020"/>
      <c r="E3" s="1021"/>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x14ac:dyDescent="0.3">
      <c r="B4" s="1019"/>
      <c r="C4" s="1020"/>
      <c r="D4" s="1020"/>
      <c r="E4" s="1021"/>
      <c r="L4" s="919"/>
      <c r="M4" s="919"/>
      <c r="N4" s="919"/>
      <c r="O4" s="919"/>
      <c r="P4" s="919"/>
      <c r="Q4" s="919"/>
    </row>
    <row r="5" spans="2:34" ht="26.45" customHeight="1" x14ac:dyDescent="0.25">
      <c r="L5" s="919"/>
      <c r="M5" s="919"/>
      <c r="N5" s="919"/>
      <c r="O5" s="919"/>
      <c r="P5" s="919"/>
      <c r="Q5" s="919"/>
    </row>
    <row r="6" spans="2:34" ht="23.25" customHeight="1" x14ac:dyDescent="0.25">
      <c r="L6" s="402"/>
      <c r="M6" s="402"/>
      <c r="N6" s="402"/>
      <c r="O6" s="402"/>
      <c r="P6" s="402"/>
    </row>
    <row r="7" spans="2:34" ht="6" customHeight="1" x14ac:dyDescent="0.25">
      <c r="L7" s="402"/>
      <c r="M7" s="402"/>
      <c r="N7" s="402"/>
      <c r="O7" s="402"/>
      <c r="P7" s="402"/>
    </row>
    <row r="8" spans="2:34" ht="6" customHeight="1" x14ac:dyDescent="0.25"/>
    <row r="9" spans="2:34" ht="15.75" customHeight="1" thickBot="1" x14ac:dyDescent="0.3"/>
    <row r="10" spans="2:34" s="42" customFormat="1" ht="29.25" customHeight="1" thickBot="1" x14ac:dyDescent="0.3">
      <c r="B10" s="246"/>
      <c r="C10" s="939" t="s">
        <v>301</v>
      </c>
      <c r="D10" s="939"/>
      <c r="E10" s="939" t="s">
        <v>272</v>
      </c>
      <c r="F10" s="939"/>
      <c r="G10" s="939" t="s">
        <v>273</v>
      </c>
      <c r="H10" s="939"/>
      <c r="I10" s="939" t="s">
        <v>191</v>
      </c>
      <c r="J10" s="939"/>
      <c r="K10" s="939"/>
      <c r="L10" s="966" t="s">
        <v>228</v>
      </c>
      <c r="M10" s="967"/>
      <c r="N10" s="967"/>
      <c r="O10" s="967"/>
      <c r="P10" s="967"/>
      <c r="Q10" s="968"/>
      <c r="R10" s="966" t="s">
        <v>229</v>
      </c>
      <c r="S10" s="967"/>
      <c r="T10" s="967"/>
      <c r="U10" s="968"/>
      <c r="V10" s="939" t="s">
        <v>319</v>
      </c>
      <c r="W10" s="939"/>
      <c r="X10" s="939" t="s">
        <v>320</v>
      </c>
      <c r="Y10" s="939"/>
      <c r="Z10" s="938" t="s">
        <v>329</v>
      </c>
      <c r="AA10" s="879" t="s">
        <v>196</v>
      </c>
      <c r="AB10" s="877"/>
    </row>
    <row r="11" spans="2:34" s="42" customFormat="1" ht="57" x14ac:dyDescent="0.25">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39"/>
      <c r="AA11" s="141" t="s">
        <v>215</v>
      </c>
      <c r="AB11" s="358" t="s">
        <v>216</v>
      </c>
      <c r="AH11" s="260" t="s">
        <v>200</v>
      </c>
    </row>
    <row r="12" spans="2:34" ht="75.95" customHeight="1" x14ac:dyDescent="0.25">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5" x14ac:dyDescent="0.25">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5" x14ac:dyDescent="0.25">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5" x14ac:dyDescent="0.25">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5" x14ac:dyDescent="0.25">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5" x14ac:dyDescent="0.25">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5" x14ac:dyDescent="0.25">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5" x14ac:dyDescent="0.25">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5" x14ac:dyDescent="0.25">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5" x14ac:dyDescent="0.25">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5" x14ac:dyDescent="0.25">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5" x14ac:dyDescent="0.25">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5" x14ac:dyDescent="0.25">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5" x14ac:dyDescent="0.25">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5" x14ac:dyDescent="0.25">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5" x14ac:dyDescent="0.25">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5" x14ac:dyDescent="0.25">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5" x14ac:dyDescent="0.25">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5" x14ac:dyDescent="0.25">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5" x14ac:dyDescent="0.25">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5" x14ac:dyDescent="0.25">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5" x14ac:dyDescent="0.25">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5" x14ac:dyDescent="0.25">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5" x14ac:dyDescent="0.25">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5" x14ac:dyDescent="0.25">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5" x14ac:dyDescent="0.25">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5" x14ac:dyDescent="0.25">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5" x14ac:dyDescent="0.25">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5" x14ac:dyDescent="0.25">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5" x14ac:dyDescent="0.25">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5" x14ac:dyDescent="0.25">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5" x14ac:dyDescent="0.25">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5" x14ac:dyDescent="0.25">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5" x14ac:dyDescent="0.25">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5" x14ac:dyDescent="0.25">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5" x14ac:dyDescent="0.25">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5" x14ac:dyDescent="0.25">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5" x14ac:dyDescent="0.25">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5" x14ac:dyDescent="0.25">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5" x14ac:dyDescent="0.25">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5" x14ac:dyDescent="0.25">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5" x14ac:dyDescent="0.25">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5" x14ac:dyDescent="0.25">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5" x14ac:dyDescent="0.25">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5" x14ac:dyDescent="0.25">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5" x14ac:dyDescent="0.25">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5" x14ac:dyDescent="0.25">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5" x14ac:dyDescent="0.25">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5" x14ac:dyDescent="0.25">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5" x14ac:dyDescent="0.25">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5" x14ac:dyDescent="0.25">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5" x14ac:dyDescent="0.25">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5" x14ac:dyDescent="0.25">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5" x14ac:dyDescent="0.25">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5" x14ac:dyDescent="0.25">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5" x14ac:dyDescent="0.25">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5" x14ac:dyDescent="0.25">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5" x14ac:dyDescent="0.25">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5" x14ac:dyDescent="0.25">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5" x14ac:dyDescent="0.25">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5" x14ac:dyDescent="0.25">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5" x14ac:dyDescent="0.25">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5" x14ac:dyDescent="0.25">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5" x14ac:dyDescent="0.25">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5" x14ac:dyDescent="0.25">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5" x14ac:dyDescent="0.25">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5" x14ac:dyDescent="0.25">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5" x14ac:dyDescent="0.25">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5" x14ac:dyDescent="0.25">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5" x14ac:dyDescent="0.25">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5" x14ac:dyDescent="0.25">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5" x14ac:dyDescent="0.25">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5" x14ac:dyDescent="0.25">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5" x14ac:dyDescent="0.25">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5" x14ac:dyDescent="0.25">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5" x14ac:dyDescent="0.25">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5" x14ac:dyDescent="0.25">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5" x14ac:dyDescent="0.25">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5" x14ac:dyDescent="0.25">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5" x14ac:dyDescent="0.25">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5" x14ac:dyDescent="0.25">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5" x14ac:dyDescent="0.25">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5" x14ac:dyDescent="0.25">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5" x14ac:dyDescent="0.25">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5" x14ac:dyDescent="0.25">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5" x14ac:dyDescent="0.25">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5" x14ac:dyDescent="0.25">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5" x14ac:dyDescent="0.25">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5" x14ac:dyDescent="0.25">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5" x14ac:dyDescent="0.25">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5" x14ac:dyDescent="0.25">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5" x14ac:dyDescent="0.25">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5" x14ac:dyDescent="0.25">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5" x14ac:dyDescent="0.25">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5" x14ac:dyDescent="0.25">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5" x14ac:dyDescent="0.25">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5" x14ac:dyDescent="0.25">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5" x14ac:dyDescent="0.25">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5" x14ac:dyDescent="0.25">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5" x14ac:dyDescent="0.25">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5" x14ac:dyDescent="0.25">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5" x14ac:dyDescent="0.25">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5" x14ac:dyDescent="0.25">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5" x14ac:dyDescent="0.25">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5" x14ac:dyDescent="0.25">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5" x14ac:dyDescent="0.25">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5" x14ac:dyDescent="0.25">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5" x14ac:dyDescent="0.25">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5" x14ac:dyDescent="0.25">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5" x14ac:dyDescent="0.25">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5" x14ac:dyDescent="0.25">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5" x14ac:dyDescent="0.25">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5" x14ac:dyDescent="0.25">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5" x14ac:dyDescent="0.25">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5" x14ac:dyDescent="0.25">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5" x14ac:dyDescent="0.25">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5" x14ac:dyDescent="0.25">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5" x14ac:dyDescent="0.25">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5" x14ac:dyDescent="0.25">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5" x14ac:dyDescent="0.25">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5" x14ac:dyDescent="0.25">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5" x14ac:dyDescent="0.25">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5" x14ac:dyDescent="0.25">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5" x14ac:dyDescent="0.25">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5" x14ac:dyDescent="0.25">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5" x14ac:dyDescent="0.25">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5" x14ac:dyDescent="0.25">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5" x14ac:dyDescent="0.25">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5" x14ac:dyDescent="0.25">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5" x14ac:dyDescent="0.25">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5" x14ac:dyDescent="0.25">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5" x14ac:dyDescent="0.25">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5" x14ac:dyDescent="0.25">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5" x14ac:dyDescent="0.25">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5" x14ac:dyDescent="0.25">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5" x14ac:dyDescent="0.25">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5" x14ac:dyDescent="0.25">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5" x14ac:dyDescent="0.25">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5" x14ac:dyDescent="0.25">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5" x14ac:dyDescent="0.25">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5" x14ac:dyDescent="0.25">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5" x14ac:dyDescent="0.25">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5" x14ac:dyDescent="0.25">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5" x14ac:dyDescent="0.25">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5" x14ac:dyDescent="0.25">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5" x14ac:dyDescent="0.25">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5" x14ac:dyDescent="0.25">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5" x14ac:dyDescent="0.25">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5" x14ac:dyDescent="0.25">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5" x14ac:dyDescent="0.25">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5" x14ac:dyDescent="0.25">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5" x14ac:dyDescent="0.25">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5" x14ac:dyDescent="0.25">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5" x14ac:dyDescent="0.25">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5" x14ac:dyDescent="0.25">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5" x14ac:dyDescent="0.25">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5" x14ac:dyDescent="0.25">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5" x14ac:dyDescent="0.25">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5" x14ac:dyDescent="0.25">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5" x14ac:dyDescent="0.25">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5" x14ac:dyDescent="0.25">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5" x14ac:dyDescent="0.25">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5" x14ac:dyDescent="0.25">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5" x14ac:dyDescent="0.25">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5" x14ac:dyDescent="0.25">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5" x14ac:dyDescent="0.25">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5" x14ac:dyDescent="0.25">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5" x14ac:dyDescent="0.25">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5" x14ac:dyDescent="0.25">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5" x14ac:dyDescent="0.25">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5" x14ac:dyDescent="0.25">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5" x14ac:dyDescent="0.25">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5" x14ac:dyDescent="0.25">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5" x14ac:dyDescent="0.25">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5" x14ac:dyDescent="0.25">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5" x14ac:dyDescent="0.25">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5" x14ac:dyDescent="0.25">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5" x14ac:dyDescent="0.25">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5" x14ac:dyDescent="0.25">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5" x14ac:dyDescent="0.25">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5" x14ac:dyDescent="0.25">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5" x14ac:dyDescent="0.25">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5" x14ac:dyDescent="0.25">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5" x14ac:dyDescent="0.25">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5" x14ac:dyDescent="0.25">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5" x14ac:dyDescent="0.25">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5" x14ac:dyDescent="0.25">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5" x14ac:dyDescent="0.25">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5" x14ac:dyDescent="0.25">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5" x14ac:dyDescent="0.25">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5" x14ac:dyDescent="0.25">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5" x14ac:dyDescent="0.25">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5" x14ac:dyDescent="0.25">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5" x14ac:dyDescent="0.25">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5" x14ac:dyDescent="0.25">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5" x14ac:dyDescent="0.25">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5" x14ac:dyDescent="0.25">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5" x14ac:dyDescent="0.25">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5" x14ac:dyDescent="0.25">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5" x14ac:dyDescent="0.25">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5" x14ac:dyDescent="0.25">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5" x14ac:dyDescent="0.25">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5" x14ac:dyDescent="0.25">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5" x14ac:dyDescent="0.25">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5" x14ac:dyDescent="0.25">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5" x14ac:dyDescent="0.25">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5" x14ac:dyDescent="0.25">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5" x14ac:dyDescent="0.25">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5" x14ac:dyDescent="0.25">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5" x14ac:dyDescent="0.25">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5" x14ac:dyDescent="0.25">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5" x14ac:dyDescent="0.25">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5" x14ac:dyDescent="0.25">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5" x14ac:dyDescent="0.25">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5" x14ac:dyDescent="0.25">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5" x14ac:dyDescent="0.25">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5" x14ac:dyDescent="0.25">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5" x14ac:dyDescent="0.25">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5" x14ac:dyDescent="0.25">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5" x14ac:dyDescent="0.25">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5" x14ac:dyDescent="0.25">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5" x14ac:dyDescent="0.25">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5" x14ac:dyDescent="0.25">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5" x14ac:dyDescent="0.25">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5" x14ac:dyDescent="0.25">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5" x14ac:dyDescent="0.25">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5" x14ac:dyDescent="0.25">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5" x14ac:dyDescent="0.25">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5" x14ac:dyDescent="0.25">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5" x14ac:dyDescent="0.25">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5" x14ac:dyDescent="0.25">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5" x14ac:dyDescent="0.25">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5" x14ac:dyDescent="0.25">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5" x14ac:dyDescent="0.25">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5" x14ac:dyDescent="0.25">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5" x14ac:dyDescent="0.25">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5" x14ac:dyDescent="0.25">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5" x14ac:dyDescent="0.25">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5" x14ac:dyDescent="0.25">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5" x14ac:dyDescent="0.25">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5" x14ac:dyDescent="0.25">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5" x14ac:dyDescent="0.25">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5" x14ac:dyDescent="0.25">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5" x14ac:dyDescent="0.25">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5" x14ac:dyDescent="0.25">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5" x14ac:dyDescent="0.25">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5" x14ac:dyDescent="0.25">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5.75" thickBot="1" x14ac:dyDescent="0.3">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5.75"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25"/>
    <row r="262" spans="2:34" ht="27" customHeight="1" x14ac:dyDescent="0.25"/>
    <row r="263" spans="2:34" ht="15" hidden="1" x14ac:dyDescent="0.25"/>
    <row r="264" spans="2:34" ht="15" hidden="1" x14ac:dyDescent="0.25"/>
    <row r="265" spans="2:34" ht="15" hidden="1" x14ac:dyDescent="0.25"/>
    <row r="266" spans="2:34" ht="15" hidden="1" x14ac:dyDescent="0.25"/>
    <row r="267" spans="2:34" ht="15" hidden="1" x14ac:dyDescent="0.25"/>
    <row r="268" spans="2:34" ht="15"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4.140625" style="31" customWidth="1"/>
    <col min="3" max="3" width="41.28515625" style="31" customWidth="1"/>
    <col min="4" max="4" width="9" style="31" customWidth="1"/>
    <col min="5" max="5" width="18.85546875" style="31" customWidth="1"/>
    <col min="6" max="6" width="18.28515625" style="31" customWidth="1"/>
    <col min="7" max="7" width="18.140625" style="31" customWidth="1"/>
    <col min="8" max="8" width="19.28515625" style="31" customWidth="1"/>
    <col min="9" max="9" width="25.85546875" style="31" customWidth="1"/>
    <col min="10" max="13" width="19.28515625" style="31" customWidth="1"/>
    <col min="14" max="14" width="45.7109375" style="31" customWidth="1"/>
    <col min="15" max="16" width="34.28515625" style="31" customWidth="1"/>
    <col min="17" max="17" width="10" style="31" customWidth="1"/>
    <col min="18" max="18" width="19.425781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1" style="31" customWidth="1"/>
    <col min="27" max="27" width="24.42578125" style="31" customWidth="1"/>
    <col min="28" max="28" width="34.42578125" style="31" customWidth="1"/>
    <col min="29" max="29" width="18.42578125" style="31" customWidth="1"/>
    <col min="30" max="30" width="15.28515625" style="31" customWidth="1"/>
    <col min="31" max="31" width="16.5703125" style="31" customWidth="1"/>
    <col min="32" max="32" width="28.28515625" style="31" customWidth="1"/>
    <col min="33" max="33" width="16.28515625" style="31" customWidth="1"/>
    <col min="34" max="34" width="15.28515625" style="31" customWidth="1"/>
    <col min="35" max="35" width="17.5703125" style="31" customWidth="1"/>
    <col min="36" max="36" width="15.28515625" style="31" customWidth="1"/>
    <col min="37" max="37" width="19.5703125" style="31" customWidth="1"/>
    <col min="38" max="39" width="12.7109375" style="31" customWidth="1"/>
    <col min="40" max="41" width="34.85546875" style="31" customWidth="1"/>
    <col min="42" max="47" width="8.85546875" style="31" customWidth="1"/>
    <col min="48" max="48" width="10.85546875" style="31" hidden="1" customWidth="1"/>
    <col min="49" max="56" width="0" style="31" hidden="1" customWidth="1"/>
    <col min="57" max="16384" width="8.85546875" style="31" hidden="1"/>
  </cols>
  <sheetData>
    <row r="1" spans="2:48" ht="20.45" customHeight="1" thickBot="1" x14ac:dyDescent="0.3"/>
    <row r="2" spans="2:48" ht="27" customHeight="1" thickBot="1" x14ac:dyDescent="0.3">
      <c r="B2" s="986" t="str">
        <f>IF([2]Start!F12="","",[2]Start!F12)</f>
        <v/>
      </c>
      <c r="C2" s="987"/>
      <c r="D2" s="987"/>
      <c r="E2" s="988"/>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x14ac:dyDescent="0.3">
      <c r="B3" s="1019" t="str">
        <f ca="1">MID(CELL("filename",A1),FIND("]",CELL("filename",A1))+1,256)</f>
        <v>C-3 Site River Enhancement</v>
      </c>
      <c r="C3" s="1020"/>
      <c r="D3" s="1020"/>
      <c r="E3" s="1021"/>
      <c r="Y3" s="919"/>
      <c r="Z3" s="919"/>
      <c r="AA3" s="919"/>
      <c r="AB3" s="919"/>
      <c r="AC3" s="919"/>
      <c r="AD3" s="919"/>
    </row>
    <row r="4" spans="2:48" ht="21" customHeight="1" thickBot="1" x14ac:dyDescent="0.3">
      <c r="B4" s="1019"/>
      <c r="C4" s="1020"/>
      <c r="D4" s="1020"/>
      <c r="E4" s="1021"/>
      <c r="Y4" s="919"/>
      <c r="Z4" s="919"/>
      <c r="AA4" s="919"/>
      <c r="AB4" s="919"/>
      <c r="AC4" s="919"/>
      <c r="AD4" s="919"/>
    </row>
    <row r="5" spans="2:48" ht="15.6" customHeight="1" x14ac:dyDescent="0.25">
      <c r="AH5" s="193"/>
      <c r="AI5" s="193"/>
      <c r="AJ5" s="193"/>
      <c r="AK5" s="193"/>
      <c r="AL5" s="193"/>
    </row>
    <row r="6" spans="2:48" ht="16.149999999999999" customHeight="1" x14ac:dyDescent="0.25">
      <c r="F6" s="131"/>
    </row>
    <row r="7" spans="2:48" ht="15" x14ac:dyDescent="0.25"/>
    <row r="8" spans="2:48" ht="15.75" thickBot="1" x14ac:dyDescent="0.3"/>
    <row r="9" spans="2:48" ht="15.75" thickBot="1" x14ac:dyDescent="0.3">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49"/>
    </row>
    <row r="10" spans="2:48" s="42" customFormat="1" ht="27" customHeight="1" thickBot="1" x14ac:dyDescent="0.3">
      <c r="C10" s="938" t="s">
        <v>247</v>
      </c>
      <c r="D10" s="938"/>
      <c r="E10" s="938"/>
      <c r="F10" s="938"/>
      <c r="G10" s="938"/>
      <c r="H10" s="938"/>
      <c r="I10" s="938"/>
      <c r="J10" s="938"/>
      <c r="K10" s="938"/>
      <c r="L10" s="938"/>
      <c r="M10" s="938"/>
      <c r="N10" s="966" t="s">
        <v>331</v>
      </c>
      <c r="O10" s="992" t="s">
        <v>249</v>
      </c>
      <c r="P10" s="99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329</v>
      </c>
      <c r="AN10" s="879" t="s">
        <v>196</v>
      </c>
      <c r="AO10" s="877"/>
    </row>
    <row r="11" spans="2:48" ht="62.25" customHeight="1" x14ac:dyDescent="0.25">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5" x14ac:dyDescent="0.25">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5" x14ac:dyDescent="0.25">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5" x14ac:dyDescent="0.25">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5" x14ac:dyDescent="0.25">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5" x14ac:dyDescent="0.25">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5" x14ac:dyDescent="0.25">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5" x14ac:dyDescent="0.25">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5" x14ac:dyDescent="0.25">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5" x14ac:dyDescent="0.25">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5" x14ac:dyDescent="0.25">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5" x14ac:dyDescent="0.25">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5" x14ac:dyDescent="0.25">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5" x14ac:dyDescent="0.25">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5" x14ac:dyDescent="0.25">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5" x14ac:dyDescent="0.25">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5" x14ac:dyDescent="0.25">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5" x14ac:dyDescent="0.25">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5" x14ac:dyDescent="0.25">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5" x14ac:dyDescent="0.25">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5" x14ac:dyDescent="0.25">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5" x14ac:dyDescent="0.25">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5" x14ac:dyDescent="0.25">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5" x14ac:dyDescent="0.25">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5" x14ac:dyDescent="0.25">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5" x14ac:dyDescent="0.25">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5" x14ac:dyDescent="0.25">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5" x14ac:dyDescent="0.25">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5" x14ac:dyDescent="0.25">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5" x14ac:dyDescent="0.25">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5" x14ac:dyDescent="0.25">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5" x14ac:dyDescent="0.25">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5" x14ac:dyDescent="0.25">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5" x14ac:dyDescent="0.25">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5" x14ac:dyDescent="0.25">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5" x14ac:dyDescent="0.25">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5" x14ac:dyDescent="0.25">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5" x14ac:dyDescent="0.25">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5" x14ac:dyDescent="0.25">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5" x14ac:dyDescent="0.25">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5" x14ac:dyDescent="0.25">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5" x14ac:dyDescent="0.25">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5" x14ac:dyDescent="0.25">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5" x14ac:dyDescent="0.25">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5" x14ac:dyDescent="0.25">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5" x14ac:dyDescent="0.25">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5" x14ac:dyDescent="0.25">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5" x14ac:dyDescent="0.25">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5" x14ac:dyDescent="0.25">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5" x14ac:dyDescent="0.25">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5" x14ac:dyDescent="0.25">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5" x14ac:dyDescent="0.25">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5" x14ac:dyDescent="0.25">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5" x14ac:dyDescent="0.25">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5" x14ac:dyDescent="0.25">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5" x14ac:dyDescent="0.25">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5" x14ac:dyDescent="0.25">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5" x14ac:dyDescent="0.25">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5" x14ac:dyDescent="0.25">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5" x14ac:dyDescent="0.25">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5" x14ac:dyDescent="0.25">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5" x14ac:dyDescent="0.25">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5" x14ac:dyDescent="0.25">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5" x14ac:dyDescent="0.25">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5" x14ac:dyDescent="0.25">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5" x14ac:dyDescent="0.25">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5" x14ac:dyDescent="0.25">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5" x14ac:dyDescent="0.25">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5" x14ac:dyDescent="0.25">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5" x14ac:dyDescent="0.25">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5" x14ac:dyDescent="0.25">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5" x14ac:dyDescent="0.25">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5" x14ac:dyDescent="0.25">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5" x14ac:dyDescent="0.25">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5" x14ac:dyDescent="0.25">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5" x14ac:dyDescent="0.25">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5" x14ac:dyDescent="0.25">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5" x14ac:dyDescent="0.25">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5" x14ac:dyDescent="0.25">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5" x14ac:dyDescent="0.25">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5" x14ac:dyDescent="0.25">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5" x14ac:dyDescent="0.25">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5" x14ac:dyDescent="0.25">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5" x14ac:dyDescent="0.25">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5" x14ac:dyDescent="0.25">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5" x14ac:dyDescent="0.25">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5" x14ac:dyDescent="0.25">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5" x14ac:dyDescent="0.25">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5" x14ac:dyDescent="0.25">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5" x14ac:dyDescent="0.25">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5" x14ac:dyDescent="0.25">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5" x14ac:dyDescent="0.25">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5" x14ac:dyDescent="0.25">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5" x14ac:dyDescent="0.25">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5" x14ac:dyDescent="0.25">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5" x14ac:dyDescent="0.25">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5" x14ac:dyDescent="0.25">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5" x14ac:dyDescent="0.25">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5" x14ac:dyDescent="0.25">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5" x14ac:dyDescent="0.25">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5" x14ac:dyDescent="0.25">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5" x14ac:dyDescent="0.25">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5" x14ac:dyDescent="0.25">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5" x14ac:dyDescent="0.25">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5" x14ac:dyDescent="0.25">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5" x14ac:dyDescent="0.25">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5" x14ac:dyDescent="0.25">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5" x14ac:dyDescent="0.25">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5" x14ac:dyDescent="0.25">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5" x14ac:dyDescent="0.25">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5" x14ac:dyDescent="0.25">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5" x14ac:dyDescent="0.25">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5" x14ac:dyDescent="0.25">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5" x14ac:dyDescent="0.25">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5" x14ac:dyDescent="0.25">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5" x14ac:dyDescent="0.25">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5" x14ac:dyDescent="0.25">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5" x14ac:dyDescent="0.25">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5" x14ac:dyDescent="0.25">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5" x14ac:dyDescent="0.25">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5" x14ac:dyDescent="0.25">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5" x14ac:dyDescent="0.25">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5" x14ac:dyDescent="0.25">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5" x14ac:dyDescent="0.25">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5" x14ac:dyDescent="0.25">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5" x14ac:dyDescent="0.25">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5" x14ac:dyDescent="0.25">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5" x14ac:dyDescent="0.25">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5" x14ac:dyDescent="0.25">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5" x14ac:dyDescent="0.25">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5" x14ac:dyDescent="0.25">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5" x14ac:dyDescent="0.25">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5" x14ac:dyDescent="0.25">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5" x14ac:dyDescent="0.25">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5" x14ac:dyDescent="0.25">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5" x14ac:dyDescent="0.25">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5" x14ac:dyDescent="0.25">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5" x14ac:dyDescent="0.25">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5" x14ac:dyDescent="0.25">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5" x14ac:dyDescent="0.25">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5" x14ac:dyDescent="0.25">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5" x14ac:dyDescent="0.25">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5" x14ac:dyDescent="0.25">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5" x14ac:dyDescent="0.25">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5" x14ac:dyDescent="0.25">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5" x14ac:dyDescent="0.25">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5" x14ac:dyDescent="0.25">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5" x14ac:dyDescent="0.25">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5" x14ac:dyDescent="0.25">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5" x14ac:dyDescent="0.25">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5" x14ac:dyDescent="0.25">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5" x14ac:dyDescent="0.25">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5" x14ac:dyDescent="0.25">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5" x14ac:dyDescent="0.25">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5" x14ac:dyDescent="0.25">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5" x14ac:dyDescent="0.25">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5" x14ac:dyDescent="0.25">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5" x14ac:dyDescent="0.25">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5" x14ac:dyDescent="0.25">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5" x14ac:dyDescent="0.25">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5" x14ac:dyDescent="0.25">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5" x14ac:dyDescent="0.25">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5" x14ac:dyDescent="0.25">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5" x14ac:dyDescent="0.25">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5" x14ac:dyDescent="0.25">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5" x14ac:dyDescent="0.25">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5" x14ac:dyDescent="0.25">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5" x14ac:dyDescent="0.25">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5" x14ac:dyDescent="0.25">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5" x14ac:dyDescent="0.25">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5" x14ac:dyDescent="0.25">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5" x14ac:dyDescent="0.25">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5" x14ac:dyDescent="0.25">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5" x14ac:dyDescent="0.25">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5" x14ac:dyDescent="0.25">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5" x14ac:dyDescent="0.25">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5" x14ac:dyDescent="0.25">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5" x14ac:dyDescent="0.25">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5" x14ac:dyDescent="0.25">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5" x14ac:dyDescent="0.25">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5" x14ac:dyDescent="0.25">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5" x14ac:dyDescent="0.25">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5" x14ac:dyDescent="0.25">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5" x14ac:dyDescent="0.25">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5" x14ac:dyDescent="0.25">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5" x14ac:dyDescent="0.25">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5" x14ac:dyDescent="0.25">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5" x14ac:dyDescent="0.25">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5" x14ac:dyDescent="0.25">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5" x14ac:dyDescent="0.25">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5" x14ac:dyDescent="0.25">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5" x14ac:dyDescent="0.25">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5" x14ac:dyDescent="0.25">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5" x14ac:dyDescent="0.25">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5" x14ac:dyDescent="0.25">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5" x14ac:dyDescent="0.25">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5" x14ac:dyDescent="0.25">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5" x14ac:dyDescent="0.25">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5" x14ac:dyDescent="0.25">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5" x14ac:dyDescent="0.25">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5" x14ac:dyDescent="0.25">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5" x14ac:dyDescent="0.25">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5" x14ac:dyDescent="0.25">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5" x14ac:dyDescent="0.25">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5" x14ac:dyDescent="0.25">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5" x14ac:dyDescent="0.25">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5" x14ac:dyDescent="0.25">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5" x14ac:dyDescent="0.25">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5" x14ac:dyDescent="0.25">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5" x14ac:dyDescent="0.25">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5" x14ac:dyDescent="0.25">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5" x14ac:dyDescent="0.25">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5" x14ac:dyDescent="0.25">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5" x14ac:dyDescent="0.25">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5" x14ac:dyDescent="0.25">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5" x14ac:dyDescent="0.25">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5" x14ac:dyDescent="0.25">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5" x14ac:dyDescent="0.25">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5" x14ac:dyDescent="0.25">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5" x14ac:dyDescent="0.25">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5" x14ac:dyDescent="0.25">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5" x14ac:dyDescent="0.25">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5" x14ac:dyDescent="0.25">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5" x14ac:dyDescent="0.25">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5" x14ac:dyDescent="0.25">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5" x14ac:dyDescent="0.25">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5" x14ac:dyDescent="0.25">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5" x14ac:dyDescent="0.25">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5" x14ac:dyDescent="0.25">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5" x14ac:dyDescent="0.25">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5" x14ac:dyDescent="0.25">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5" x14ac:dyDescent="0.25">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5" x14ac:dyDescent="0.25">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5" x14ac:dyDescent="0.25">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5" x14ac:dyDescent="0.25">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5" x14ac:dyDescent="0.25">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5" x14ac:dyDescent="0.25">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5" x14ac:dyDescent="0.25">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5" x14ac:dyDescent="0.25">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5" x14ac:dyDescent="0.25">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5" x14ac:dyDescent="0.25">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5" x14ac:dyDescent="0.25">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5" x14ac:dyDescent="0.25">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5" x14ac:dyDescent="0.25">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5" x14ac:dyDescent="0.25">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5" x14ac:dyDescent="0.25">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5.75" thickBot="1" x14ac:dyDescent="0.3">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5.75" thickBot="1" x14ac:dyDescent="0.3">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5" x14ac:dyDescent="0.25">
      <c r="AJ259" s="31" t="str">
        <f>IF(AI259="","",IF(VLOOKUP(AI259,'[2]G-7 Rivers Data'!$AA$4:$AB$6,2,FALSE)=0,"Spatial Data Missing",VLOOKUP(AI259,'[2]G-7 Rivers Data'!$AA$4:$AB$6,2,FALSE)))</f>
        <v/>
      </c>
    </row>
    <row r="260" spans="2:48" ht="15" x14ac:dyDescent="0.25"/>
    <row r="261" spans="2:48" ht="15" x14ac:dyDescent="0.25"/>
    <row r="262" spans="2:48" ht="15" x14ac:dyDescent="0.25"/>
    <row r="263" spans="2:48" ht="15" x14ac:dyDescent="0.25"/>
    <row r="264" spans="2:48" ht="15" x14ac:dyDescent="0.25"/>
    <row r="265" spans="2:48" ht="15" x14ac:dyDescent="0.25"/>
    <row r="266" spans="2:48" ht="15" x14ac:dyDescent="0.25"/>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7109375" style="132" customWidth="1"/>
    <col min="3" max="3" width="10" style="132" customWidth="1"/>
    <col min="4" max="4" width="55" style="31" customWidth="1"/>
    <col min="5" max="5" width="8.5703125" style="31" customWidth="1"/>
    <col min="6" max="6" width="18.85546875" style="31" customWidth="1"/>
    <col min="7" max="7" width="8.7109375" style="31" customWidth="1"/>
    <col min="8" max="8" width="14.28515625" style="31" bestFit="1" customWidth="1"/>
    <col min="9" max="9" width="12.85546875" style="31" customWidth="1"/>
    <col min="10" max="10" width="33.7109375" style="31" customWidth="1"/>
    <col min="11" max="11" width="15.140625" style="31" customWidth="1"/>
    <col min="12" max="12" width="13.7109375" style="31" customWidth="1"/>
    <col min="13" max="13" width="18.140625" style="31" customWidth="1"/>
    <col min="14" max="14" width="12.85546875" style="31" customWidth="1"/>
    <col min="15" max="15" width="16.7109375" style="31" customWidth="1"/>
    <col min="16" max="16" width="12.7109375" style="31" customWidth="1"/>
    <col min="17" max="17" width="14.28515625" style="31" customWidth="1"/>
    <col min="18" max="18" width="13.28515625" style="31" customWidth="1"/>
    <col min="19" max="19" width="3.7109375" style="31" customWidth="1"/>
    <col min="20" max="20" width="12.140625" style="31" customWidth="1"/>
    <col min="21" max="21" width="12.85546875" style="31" customWidth="1"/>
    <col min="22" max="22" width="10.85546875" style="31" customWidth="1"/>
    <col min="23" max="23" width="11.85546875" style="31" customWidth="1"/>
    <col min="24" max="24" width="12" style="31" customWidth="1"/>
    <col min="25" max="25" width="8.7109375" style="31" customWidth="1"/>
    <col min="26" max="27" width="50.140625" style="31" customWidth="1"/>
    <col min="28" max="30" width="8.85546875" style="31" customWidth="1"/>
    <col min="31" max="31" width="8.85546875" style="31" hidden="1" customWidth="1"/>
    <col min="32" max="32" width="15.85546875" style="31" hidden="1" customWidth="1"/>
    <col min="33" max="33" width="8.85546875" style="31" hidden="1" customWidth="1"/>
    <col min="34" max="34" width="9" style="31" hidden="1" customWidth="1"/>
    <col min="35" max="35" width="9.5703125" style="31" hidden="1" customWidth="1"/>
    <col min="36" max="36" width="8.85546875" style="31" hidden="1" customWidth="1"/>
    <col min="37" max="37" width="11.85546875" style="31" hidden="1" customWidth="1"/>
    <col min="38" max="38" width="8.85546875" style="31" hidden="1" customWidth="1"/>
    <col min="39" max="39" width="9" style="31" hidden="1" customWidth="1"/>
    <col min="40" max="40" width="9.5703125" style="31" hidden="1" customWidth="1"/>
    <col min="41" max="16384" width="8.85546875" style="31" hidden="1"/>
  </cols>
  <sheetData>
    <row r="1" spans="2:40" ht="12.75" customHeight="1" thickBot="1" x14ac:dyDescent="0.3">
      <c r="B1" s="31"/>
      <c r="C1" s="31"/>
    </row>
    <row r="2" spans="2:40" ht="19.5" customHeight="1" thickBot="1" x14ac:dyDescent="0.3">
      <c r="B2" s="743" t="str">
        <f>IF([2]Start!$F$12="","",[2]Start!$F$12)</f>
        <v/>
      </c>
      <c r="C2" s="744"/>
      <c r="D2" s="744"/>
      <c r="E2" s="745"/>
    </row>
    <row r="3" spans="2:40" ht="15" customHeight="1" thickBot="1" x14ac:dyDescent="0.3">
      <c r="B3" s="971" t="str">
        <f ca="1">MID(CELL("filename",A1),FIND("]",CELL("filename",A1))+1,256)</f>
        <v>F-1 Off Site River Baseline</v>
      </c>
      <c r="C3" s="972"/>
      <c r="D3" s="972"/>
      <c r="E3" s="973"/>
    </row>
    <row r="4" spans="2:40" ht="15" customHeight="1" thickBot="1" x14ac:dyDescent="0.3">
      <c r="B4" s="971"/>
      <c r="C4" s="972"/>
      <c r="D4" s="972"/>
      <c r="E4" s="973"/>
      <c r="S4" s="445"/>
      <c r="T4" s="1018" t="str">
        <f>IF(SUM(AG10:AG257)&gt;0,"Check Lengths ⚠","")</f>
        <v/>
      </c>
      <c r="U4" s="1018"/>
      <c r="V4" s="1018"/>
      <c r="W4" s="1018"/>
      <c r="X4" s="1018"/>
      <c r="Y4" s="1018"/>
    </row>
    <row r="5" spans="2:40" ht="27" customHeight="1" x14ac:dyDescent="0.25">
      <c r="B5" s="31"/>
      <c r="C5" s="31"/>
      <c r="S5" s="445"/>
      <c r="T5" s="1018"/>
      <c r="U5" s="1018"/>
      <c r="V5" s="1018"/>
      <c r="W5" s="1018"/>
      <c r="X5" s="1018"/>
      <c r="Y5" s="1018"/>
    </row>
    <row r="6" spans="2:40" ht="40.15" customHeight="1" x14ac:dyDescent="0.25">
      <c r="B6" s="31"/>
      <c r="C6" s="31"/>
      <c r="D6" s="131"/>
    </row>
    <row r="7" spans="2:40" ht="15.75" thickBot="1" x14ac:dyDescent="0.3"/>
    <row r="8" spans="2:40" ht="30.75" customHeight="1" thickBot="1" x14ac:dyDescent="0.3">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49" t="s">
        <v>196</v>
      </c>
      <c r="AA8" s="949"/>
    </row>
    <row r="9" spans="2:40" ht="42.75" x14ac:dyDescent="0.25">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39"/>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5" x14ac:dyDescent="0.25">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5" x14ac:dyDescent="0.25">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5" x14ac:dyDescent="0.25">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5" x14ac:dyDescent="0.25">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5" x14ac:dyDescent="0.25">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5" x14ac:dyDescent="0.25">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5" x14ac:dyDescent="0.25">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5" x14ac:dyDescent="0.25">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5" x14ac:dyDescent="0.25">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5" x14ac:dyDescent="0.25">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5" x14ac:dyDescent="0.25">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5" x14ac:dyDescent="0.25">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5" x14ac:dyDescent="0.25">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5" x14ac:dyDescent="0.25">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5" x14ac:dyDescent="0.25">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5" x14ac:dyDescent="0.25">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5" x14ac:dyDescent="0.25">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5" x14ac:dyDescent="0.25">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5" x14ac:dyDescent="0.25">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5" x14ac:dyDescent="0.25">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5" x14ac:dyDescent="0.25">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5" x14ac:dyDescent="0.25">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5" x14ac:dyDescent="0.25">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5" x14ac:dyDescent="0.25">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5" x14ac:dyDescent="0.25">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5" x14ac:dyDescent="0.25">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5" x14ac:dyDescent="0.25">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5" x14ac:dyDescent="0.25">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5" x14ac:dyDescent="0.25">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5" x14ac:dyDescent="0.25">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5" x14ac:dyDescent="0.25">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5" x14ac:dyDescent="0.25">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5" x14ac:dyDescent="0.25">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5" x14ac:dyDescent="0.25">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5" x14ac:dyDescent="0.25">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5" x14ac:dyDescent="0.25">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5" x14ac:dyDescent="0.25">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5" x14ac:dyDescent="0.25">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5" x14ac:dyDescent="0.25">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5" x14ac:dyDescent="0.25">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5" x14ac:dyDescent="0.25">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5" x14ac:dyDescent="0.25">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5" x14ac:dyDescent="0.25">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5" x14ac:dyDescent="0.25">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5" x14ac:dyDescent="0.25">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5" x14ac:dyDescent="0.25">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5" x14ac:dyDescent="0.25">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5" x14ac:dyDescent="0.25">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5" x14ac:dyDescent="0.25">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5" x14ac:dyDescent="0.25">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5" x14ac:dyDescent="0.25">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5" x14ac:dyDescent="0.25">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5" x14ac:dyDescent="0.25">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5" x14ac:dyDescent="0.25">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5" x14ac:dyDescent="0.25">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5" x14ac:dyDescent="0.25">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5" x14ac:dyDescent="0.25">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5" x14ac:dyDescent="0.25">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5" x14ac:dyDescent="0.25">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5" x14ac:dyDescent="0.25">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5" x14ac:dyDescent="0.25">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5" x14ac:dyDescent="0.25">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5" x14ac:dyDescent="0.25">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5" x14ac:dyDescent="0.25">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5" x14ac:dyDescent="0.25">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5" x14ac:dyDescent="0.25">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5" x14ac:dyDescent="0.25">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5" x14ac:dyDescent="0.25">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5" x14ac:dyDescent="0.25">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5" x14ac:dyDescent="0.25">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5" x14ac:dyDescent="0.25">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5" x14ac:dyDescent="0.25">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5" x14ac:dyDescent="0.25">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5" x14ac:dyDescent="0.25">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5" x14ac:dyDescent="0.25">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5" x14ac:dyDescent="0.25">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5" x14ac:dyDescent="0.25">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5" x14ac:dyDescent="0.25">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5" x14ac:dyDescent="0.25">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5" x14ac:dyDescent="0.25">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5" x14ac:dyDescent="0.25">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5" x14ac:dyDescent="0.25">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5" x14ac:dyDescent="0.25">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5" x14ac:dyDescent="0.25">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5" x14ac:dyDescent="0.25">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5" x14ac:dyDescent="0.25">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5" x14ac:dyDescent="0.25">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5" x14ac:dyDescent="0.25">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5" x14ac:dyDescent="0.25">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5" x14ac:dyDescent="0.25">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5" x14ac:dyDescent="0.25">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5" x14ac:dyDescent="0.25">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5" x14ac:dyDescent="0.25">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5" x14ac:dyDescent="0.25">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5" x14ac:dyDescent="0.25">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5" x14ac:dyDescent="0.25">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5" x14ac:dyDescent="0.25">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5" x14ac:dyDescent="0.25">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5" x14ac:dyDescent="0.25">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5" x14ac:dyDescent="0.25">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5" x14ac:dyDescent="0.25">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5" x14ac:dyDescent="0.25">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5" x14ac:dyDescent="0.25">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5" x14ac:dyDescent="0.25">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5" x14ac:dyDescent="0.25">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5" x14ac:dyDescent="0.25">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5" x14ac:dyDescent="0.25">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5" x14ac:dyDescent="0.25">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5" x14ac:dyDescent="0.25">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5" x14ac:dyDescent="0.25">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5" x14ac:dyDescent="0.25">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5" x14ac:dyDescent="0.25">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5" x14ac:dyDescent="0.25">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5" x14ac:dyDescent="0.25">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5" x14ac:dyDescent="0.25">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5" x14ac:dyDescent="0.25">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5" x14ac:dyDescent="0.25">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5" x14ac:dyDescent="0.25">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5" x14ac:dyDescent="0.25">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5" x14ac:dyDescent="0.25">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5" x14ac:dyDescent="0.25">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5" x14ac:dyDescent="0.25">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5" x14ac:dyDescent="0.25">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5" x14ac:dyDescent="0.25">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5" x14ac:dyDescent="0.25">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5" x14ac:dyDescent="0.25">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5" x14ac:dyDescent="0.25">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5" x14ac:dyDescent="0.25">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5" x14ac:dyDescent="0.25">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5" x14ac:dyDescent="0.25">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5" x14ac:dyDescent="0.25">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5" x14ac:dyDescent="0.25">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5" x14ac:dyDescent="0.25">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5" x14ac:dyDescent="0.25">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5" x14ac:dyDescent="0.25">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5" x14ac:dyDescent="0.25">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5" x14ac:dyDescent="0.25">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5" x14ac:dyDescent="0.25">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5" x14ac:dyDescent="0.25">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5" x14ac:dyDescent="0.25">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5" x14ac:dyDescent="0.25">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5" x14ac:dyDescent="0.25">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5" x14ac:dyDescent="0.25">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5" x14ac:dyDescent="0.25">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5" x14ac:dyDescent="0.25">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5" x14ac:dyDescent="0.25">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5" x14ac:dyDescent="0.25">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5" x14ac:dyDescent="0.25">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5" x14ac:dyDescent="0.25">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5" x14ac:dyDescent="0.25">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5" x14ac:dyDescent="0.25">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5" x14ac:dyDescent="0.25">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5" x14ac:dyDescent="0.25">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5" x14ac:dyDescent="0.25">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5" x14ac:dyDescent="0.25">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5" x14ac:dyDescent="0.25">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5" x14ac:dyDescent="0.25">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5" x14ac:dyDescent="0.25">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5" x14ac:dyDescent="0.25">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5" x14ac:dyDescent="0.25">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5" x14ac:dyDescent="0.25">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5" x14ac:dyDescent="0.25">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5" x14ac:dyDescent="0.25">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5" x14ac:dyDescent="0.25">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5" x14ac:dyDescent="0.25">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5" x14ac:dyDescent="0.25">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5" x14ac:dyDescent="0.25">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5" x14ac:dyDescent="0.25">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5" x14ac:dyDescent="0.25">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5" x14ac:dyDescent="0.25">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5" x14ac:dyDescent="0.25">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5" x14ac:dyDescent="0.25">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5" x14ac:dyDescent="0.25">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5" x14ac:dyDescent="0.25">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5" x14ac:dyDescent="0.25">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5" x14ac:dyDescent="0.25">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5" x14ac:dyDescent="0.25">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5" x14ac:dyDescent="0.25">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5" x14ac:dyDescent="0.25">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5" x14ac:dyDescent="0.25">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5" x14ac:dyDescent="0.25">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5" x14ac:dyDescent="0.25">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5" x14ac:dyDescent="0.25">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5" x14ac:dyDescent="0.25">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5" x14ac:dyDescent="0.25">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5" x14ac:dyDescent="0.25">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5" x14ac:dyDescent="0.25">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5" x14ac:dyDescent="0.25">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5" x14ac:dyDescent="0.25">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5" x14ac:dyDescent="0.25">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5" x14ac:dyDescent="0.25">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5" x14ac:dyDescent="0.25">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5" x14ac:dyDescent="0.25">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5" x14ac:dyDescent="0.25">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5" x14ac:dyDescent="0.25">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5" x14ac:dyDescent="0.25">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5" x14ac:dyDescent="0.25">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5" x14ac:dyDescent="0.25">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5" x14ac:dyDescent="0.25">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5" x14ac:dyDescent="0.25">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5" x14ac:dyDescent="0.25">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5" x14ac:dyDescent="0.25">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5" x14ac:dyDescent="0.25">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5" x14ac:dyDescent="0.25">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5" x14ac:dyDescent="0.25">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5" x14ac:dyDescent="0.25">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5" x14ac:dyDescent="0.25">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5" x14ac:dyDescent="0.25">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5" x14ac:dyDescent="0.25">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5" x14ac:dyDescent="0.25">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5" x14ac:dyDescent="0.25">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5" x14ac:dyDescent="0.25">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5" x14ac:dyDescent="0.25">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5" x14ac:dyDescent="0.25">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5" x14ac:dyDescent="0.25">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5" x14ac:dyDescent="0.25">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5" x14ac:dyDescent="0.25">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5" x14ac:dyDescent="0.25">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5" x14ac:dyDescent="0.25">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5" x14ac:dyDescent="0.25">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5" x14ac:dyDescent="0.25">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5" x14ac:dyDescent="0.25">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5" x14ac:dyDescent="0.25">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5" x14ac:dyDescent="0.25">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5" x14ac:dyDescent="0.25">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5" x14ac:dyDescent="0.25">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5" x14ac:dyDescent="0.25">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5" x14ac:dyDescent="0.25">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5" x14ac:dyDescent="0.25">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5" x14ac:dyDescent="0.25">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5" x14ac:dyDescent="0.25">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5" x14ac:dyDescent="0.25">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5" x14ac:dyDescent="0.25">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5" x14ac:dyDescent="0.25">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5" x14ac:dyDescent="0.25">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5" x14ac:dyDescent="0.25">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5" x14ac:dyDescent="0.25">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5" x14ac:dyDescent="0.25">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5" x14ac:dyDescent="0.25">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5" x14ac:dyDescent="0.25">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5" x14ac:dyDescent="0.25">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5" x14ac:dyDescent="0.25">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5" x14ac:dyDescent="0.25">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5" x14ac:dyDescent="0.25">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5" x14ac:dyDescent="0.25">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5" x14ac:dyDescent="0.25">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5" x14ac:dyDescent="0.25">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5.75" thickBot="1" x14ac:dyDescent="0.3">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5" x14ac:dyDescent="0.25">
      <c r="B259" s="31"/>
      <c r="C259" s="31"/>
      <c r="S259" s="166"/>
      <c r="T259" s="166"/>
      <c r="U259" s="166"/>
      <c r="V259" s="166"/>
      <c r="W259" s="166"/>
      <c r="X259" s="166"/>
      <c r="Y259" s="166"/>
    </row>
    <row r="260" spans="2:40" ht="15" x14ac:dyDescent="0.25"/>
    <row r="261" spans="2:40" ht="15" x14ac:dyDescent="0.25"/>
    <row r="262" spans="2:40" ht="15" x14ac:dyDescent="0.25"/>
    <row r="263" spans="2:40" ht="15" x14ac:dyDescent="0.25"/>
    <row r="264" spans="2:40" ht="15" x14ac:dyDescent="0.25"/>
    <row r="265" spans="2:40" ht="15" x14ac:dyDescent="0.25"/>
    <row r="266" spans="2:40" ht="15" x14ac:dyDescent="0.25"/>
    <row r="267" spans="2:40" ht="15" x14ac:dyDescent="0.25"/>
    <row r="268" spans="2:40" ht="15" x14ac:dyDescent="0.25"/>
    <row r="269" spans="2:40" ht="15" x14ac:dyDescent="0.25"/>
    <row r="270" spans="2:40" ht="15" x14ac:dyDescent="0.25"/>
    <row r="271" spans="2:40" ht="15" x14ac:dyDescent="0.25"/>
    <row r="272" spans="2:40" ht="15"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0.7109375" style="31" customWidth="1"/>
    <col min="3" max="3" width="47.140625" style="31" customWidth="1"/>
    <col min="4" max="4" width="10.42578125" style="31" customWidth="1"/>
    <col min="5" max="5" width="17.42578125" style="31" customWidth="1"/>
    <col min="6" max="6" width="13.140625" style="31" customWidth="1"/>
    <col min="7" max="7" width="12.5703125" style="31" bestFit="1" customWidth="1"/>
    <col min="8" max="8" width="12.5703125" style="31" customWidth="1"/>
    <col min="9" max="9" width="33.7109375" style="31" customWidth="1"/>
    <col min="10" max="10" width="15.42578125" style="31" customWidth="1"/>
    <col min="11" max="11" width="12.28515625" style="31" customWidth="1"/>
    <col min="12" max="14" width="17.7109375" style="31" customWidth="1"/>
    <col min="15" max="15" width="34.5703125" style="31" customWidth="1"/>
    <col min="16" max="16" width="17.7109375" style="31" customWidth="1"/>
    <col min="17" max="17" width="15.28515625" style="31" customWidth="1"/>
    <col min="18" max="18" width="10.7109375" style="31" customWidth="1"/>
    <col min="19" max="19" width="26.140625" style="31" customWidth="1"/>
    <col min="20" max="20" width="13.42578125" style="31" customWidth="1"/>
    <col min="21" max="21" width="12.28515625" style="31" customWidth="1"/>
    <col min="22" max="22" width="16.42578125" style="31" customWidth="1"/>
    <col min="23" max="23" width="12.42578125" style="31" customWidth="1"/>
    <col min="24" max="24" width="17" style="31" customWidth="1"/>
    <col min="25" max="25" width="12.5703125" style="31" customWidth="1"/>
    <col min="26" max="26" width="30.28515625" style="31" customWidth="1"/>
    <col min="27" max="27" width="12.7109375" style="31" customWidth="1"/>
    <col min="28" max="28" width="17.28515625" style="31" customWidth="1"/>
    <col min="29" max="30" width="34.85546875" style="31" customWidth="1"/>
    <col min="31" max="36" width="8.85546875" style="31" customWidth="1"/>
    <col min="37" max="37" width="15.42578125" style="31" hidden="1" customWidth="1"/>
    <col min="38" max="45" width="0" style="31" hidden="1" customWidth="1"/>
    <col min="46" max="16384" width="8.85546875" style="31" hidden="1"/>
  </cols>
  <sheetData>
    <row r="1" spans="2:37" ht="15.75" thickBot="1" x14ac:dyDescent="0.3"/>
    <row r="2" spans="2:37" ht="18.600000000000001" customHeight="1" thickBot="1" x14ac:dyDescent="0.3">
      <c r="B2" s="743" t="str">
        <f>IF([2]Start!$F$12="","",[2]Start!$F$12)</f>
        <v/>
      </c>
      <c r="C2" s="744"/>
      <c r="D2" s="745"/>
      <c r="L2" s="919" t="str">
        <f>IF(OR(COUNTIF(L$12:$L259,"*30+*")&gt;0,COUNTIF(P$12:$P259,"*30+*")&gt;0),"Note; Habitat selected has a time to target condition greater than 30 years. Non standard agreement may be required.","")</f>
        <v/>
      </c>
      <c r="M2" s="919"/>
      <c r="N2" s="919"/>
      <c r="O2" s="919"/>
      <c r="P2" s="919"/>
      <c r="Q2" s="919"/>
    </row>
    <row r="3" spans="2:37" ht="15.6" customHeight="1" thickBot="1" x14ac:dyDescent="0.3">
      <c r="B3" s="971" t="str">
        <f ca="1">MID(CELL("filename",A1),FIND("]",CELL("filename",A1))+1,256)</f>
        <v>F-2 Off Site River Creation</v>
      </c>
      <c r="C3" s="972"/>
      <c r="D3" s="973"/>
      <c r="L3" s="919"/>
      <c r="M3" s="919"/>
      <c r="N3" s="919"/>
      <c r="O3" s="919"/>
      <c r="P3" s="919"/>
      <c r="Q3" s="919"/>
    </row>
    <row r="4" spans="2:37" ht="9.6" customHeight="1" thickBot="1" x14ac:dyDescent="0.3">
      <c r="B4" s="971"/>
      <c r="C4" s="972"/>
      <c r="D4" s="973"/>
      <c r="L4" s="919"/>
      <c r="M4" s="919"/>
      <c r="N4" s="919"/>
      <c r="O4" s="919"/>
      <c r="P4" s="919"/>
      <c r="Q4" s="919"/>
    </row>
    <row r="5" spans="2:37" ht="26.45" customHeight="1" x14ac:dyDescent="0.25">
      <c r="L5" s="919"/>
      <c r="M5" s="919"/>
      <c r="N5" s="919"/>
      <c r="O5" s="919"/>
      <c r="P5" s="919"/>
      <c r="Q5" s="919"/>
    </row>
    <row r="6" spans="2:37" ht="23.25" customHeight="1" x14ac:dyDescent="0.25">
      <c r="D6" s="131"/>
      <c r="L6" s="402"/>
      <c r="M6" s="402"/>
      <c r="N6" s="402"/>
      <c r="O6" s="402"/>
      <c r="P6" s="402"/>
    </row>
    <row r="7" spans="2:37" ht="15" x14ac:dyDescent="0.25"/>
    <row r="8" spans="2:37" ht="15" x14ac:dyDescent="0.25"/>
    <row r="9" spans="2:37" ht="15.75" customHeight="1" thickBot="1" x14ac:dyDescent="0.3"/>
    <row r="10" spans="2:37" s="42" customFormat="1" ht="29.25" customHeight="1" thickBot="1" x14ac:dyDescent="0.3">
      <c r="B10" s="246"/>
      <c r="C10" s="966" t="s">
        <v>301</v>
      </c>
      <c r="D10" s="968"/>
      <c r="E10" s="966" t="s">
        <v>272</v>
      </c>
      <c r="F10" s="968"/>
      <c r="G10" s="966" t="s">
        <v>336</v>
      </c>
      <c r="H10" s="968"/>
      <c r="I10" s="939" t="s">
        <v>191</v>
      </c>
      <c r="J10" s="939"/>
      <c r="K10" s="939"/>
      <c r="L10" s="939" t="s">
        <v>228</v>
      </c>
      <c r="M10" s="939"/>
      <c r="N10" s="939"/>
      <c r="O10" s="939"/>
      <c r="P10" s="939"/>
      <c r="Q10" s="939"/>
      <c r="R10" s="966" t="s">
        <v>229</v>
      </c>
      <c r="S10" s="967"/>
      <c r="T10" s="967"/>
      <c r="U10" s="968"/>
      <c r="V10" s="939" t="s">
        <v>319</v>
      </c>
      <c r="W10" s="939"/>
      <c r="X10" s="939" t="s">
        <v>320</v>
      </c>
      <c r="Y10" s="939"/>
      <c r="Z10" s="939" t="s">
        <v>283</v>
      </c>
      <c r="AA10" s="939"/>
      <c r="AB10" s="938" t="s">
        <v>329</v>
      </c>
      <c r="AC10" s="879" t="s">
        <v>196</v>
      </c>
      <c r="AD10" s="877"/>
    </row>
    <row r="11" spans="2:37" s="42" customFormat="1" ht="57" x14ac:dyDescent="0.25">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39"/>
      <c r="AC11" s="141" t="s">
        <v>215</v>
      </c>
      <c r="AD11" s="358" t="s">
        <v>216</v>
      </c>
      <c r="AK11" s="260" t="s">
        <v>200</v>
      </c>
    </row>
    <row r="12" spans="2:37" ht="15" x14ac:dyDescent="0.25">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5" x14ac:dyDescent="0.25">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5" x14ac:dyDescent="0.25">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5" x14ac:dyDescent="0.25">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5" x14ac:dyDescent="0.25">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5" x14ac:dyDescent="0.25">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5" x14ac:dyDescent="0.25">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5" x14ac:dyDescent="0.25">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5" x14ac:dyDescent="0.25">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5" x14ac:dyDescent="0.25">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5" x14ac:dyDescent="0.25">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5" x14ac:dyDescent="0.25">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5" x14ac:dyDescent="0.25">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5" x14ac:dyDescent="0.25">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5" x14ac:dyDescent="0.25">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5" x14ac:dyDescent="0.25">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5" x14ac:dyDescent="0.25">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5" x14ac:dyDescent="0.25">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5" x14ac:dyDescent="0.25">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5" x14ac:dyDescent="0.25">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5" x14ac:dyDescent="0.25">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5" x14ac:dyDescent="0.25">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5" x14ac:dyDescent="0.25">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5" x14ac:dyDescent="0.25">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5" x14ac:dyDescent="0.25">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5" x14ac:dyDescent="0.25">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5" x14ac:dyDescent="0.25">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5" x14ac:dyDescent="0.25">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5" x14ac:dyDescent="0.25">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5" x14ac:dyDescent="0.25">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5" x14ac:dyDescent="0.25">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5" x14ac:dyDescent="0.25">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5" x14ac:dyDescent="0.25">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5" x14ac:dyDescent="0.25">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5" x14ac:dyDescent="0.25">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5" x14ac:dyDescent="0.25">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5" x14ac:dyDescent="0.25">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5" x14ac:dyDescent="0.25">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5" x14ac:dyDescent="0.25">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5" x14ac:dyDescent="0.25">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5" x14ac:dyDescent="0.25">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5" x14ac:dyDescent="0.25">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5" x14ac:dyDescent="0.25">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5" x14ac:dyDescent="0.25">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5" x14ac:dyDescent="0.25">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5" x14ac:dyDescent="0.25">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5" x14ac:dyDescent="0.25">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5" x14ac:dyDescent="0.25">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5" x14ac:dyDescent="0.25">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5" x14ac:dyDescent="0.25">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5" x14ac:dyDescent="0.25">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5" x14ac:dyDescent="0.25">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5" x14ac:dyDescent="0.25">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5" x14ac:dyDescent="0.25">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5" x14ac:dyDescent="0.25">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5" x14ac:dyDescent="0.25">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5" x14ac:dyDescent="0.25">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5" x14ac:dyDescent="0.25">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5" x14ac:dyDescent="0.25">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5" x14ac:dyDescent="0.25">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5" x14ac:dyDescent="0.25">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5" x14ac:dyDescent="0.25">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5" x14ac:dyDescent="0.25">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5" x14ac:dyDescent="0.25">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5" x14ac:dyDescent="0.25">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5" x14ac:dyDescent="0.25">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5" x14ac:dyDescent="0.25">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5" x14ac:dyDescent="0.25">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5" x14ac:dyDescent="0.25">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5" x14ac:dyDescent="0.25">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5" x14ac:dyDescent="0.25">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5" x14ac:dyDescent="0.25">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5" x14ac:dyDescent="0.25">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5" x14ac:dyDescent="0.25">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5" x14ac:dyDescent="0.25">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5" x14ac:dyDescent="0.25">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5" x14ac:dyDescent="0.25">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5" x14ac:dyDescent="0.25">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5" x14ac:dyDescent="0.25">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5" x14ac:dyDescent="0.25">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5" x14ac:dyDescent="0.25">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5" x14ac:dyDescent="0.25">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5" x14ac:dyDescent="0.25">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5" x14ac:dyDescent="0.25">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5" x14ac:dyDescent="0.25">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5" x14ac:dyDescent="0.25">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5" x14ac:dyDescent="0.25">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5" x14ac:dyDescent="0.25">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5" x14ac:dyDescent="0.25">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5" x14ac:dyDescent="0.25">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5" x14ac:dyDescent="0.25">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5" x14ac:dyDescent="0.25">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5" x14ac:dyDescent="0.25">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5" x14ac:dyDescent="0.25">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5" x14ac:dyDescent="0.25">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5" x14ac:dyDescent="0.25">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5" x14ac:dyDescent="0.25">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5" x14ac:dyDescent="0.25">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5" x14ac:dyDescent="0.25">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5" x14ac:dyDescent="0.25">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5" x14ac:dyDescent="0.25">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5" x14ac:dyDescent="0.25">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5" x14ac:dyDescent="0.25">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5" x14ac:dyDescent="0.25">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5" x14ac:dyDescent="0.25">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5" x14ac:dyDescent="0.25">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5" x14ac:dyDescent="0.25">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5" x14ac:dyDescent="0.25">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5" x14ac:dyDescent="0.25">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5" x14ac:dyDescent="0.25">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5" x14ac:dyDescent="0.25">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5" x14ac:dyDescent="0.25">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5" x14ac:dyDescent="0.25">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5" x14ac:dyDescent="0.25">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5" x14ac:dyDescent="0.25">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5" x14ac:dyDescent="0.25">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5" x14ac:dyDescent="0.25">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5" x14ac:dyDescent="0.25">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5" x14ac:dyDescent="0.25">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5" x14ac:dyDescent="0.25">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5" x14ac:dyDescent="0.25">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5" x14ac:dyDescent="0.25">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5" x14ac:dyDescent="0.25">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5" x14ac:dyDescent="0.25">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5" x14ac:dyDescent="0.25">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5" x14ac:dyDescent="0.25">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5" x14ac:dyDescent="0.25">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5" x14ac:dyDescent="0.25">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5" x14ac:dyDescent="0.25">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5" x14ac:dyDescent="0.25">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5" x14ac:dyDescent="0.25">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5" x14ac:dyDescent="0.25">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5" x14ac:dyDescent="0.25">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5" x14ac:dyDescent="0.25">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5" x14ac:dyDescent="0.25">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5" x14ac:dyDescent="0.25">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5" x14ac:dyDescent="0.25">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5" x14ac:dyDescent="0.25">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5" x14ac:dyDescent="0.25">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5" x14ac:dyDescent="0.25">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5" x14ac:dyDescent="0.25">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5" x14ac:dyDescent="0.25">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5" x14ac:dyDescent="0.25">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5" x14ac:dyDescent="0.25">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5" x14ac:dyDescent="0.25">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5" x14ac:dyDescent="0.25">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5" x14ac:dyDescent="0.25">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5" x14ac:dyDescent="0.25">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5" x14ac:dyDescent="0.25">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5" x14ac:dyDescent="0.25">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5" x14ac:dyDescent="0.25">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5" x14ac:dyDescent="0.25">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5" x14ac:dyDescent="0.25">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5" x14ac:dyDescent="0.25">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5" x14ac:dyDescent="0.25">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5" x14ac:dyDescent="0.25">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5" x14ac:dyDescent="0.25">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5" x14ac:dyDescent="0.25">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5" x14ac:dyDescent="0.25">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5" x14ac:dyDescent="0.25">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5" x14ac:dyDescent="0.25">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5" x14ac:dyDescent="0.25">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5" x14ac:dyDescent="0.25">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5" x14ac:dyDescent="0.25">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5" x14ac:dyDescent="0.25">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5" x14ac:dyDescent="0.25">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5" x14ac:dyDescent="0.25">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5" x14ac:dyDescent="0.25">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5" x14ac:dyDescent="0.25">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5" x14ac:dyDescent="0.25">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5" x14ac:dyDescent="0.25">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5" x14ac:dyDescent="0.25">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5" x14ac:dyDescent="0.25">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5" x14ac:dyDescent="0.25">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5" x14ac:dyDescent="0.25">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5" x14ac:dyDescent="0.25">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5" x14ac:dyDescent="0.25">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5" x14ac:dyDescent="0.25">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5" x14ac:dyDescent="0.25">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5" x14ac:dyDescent="0.25">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5" x14ac:dyDescent="0.25">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5" x14ac:dyDescent="0.25">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5" x14ac:dyDescent="0.25">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5" x14ac:dyDescent="0.25">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5" x14ac:dyDescent="0.25">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5" x14ac:dyDescent="0.25">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5" x14ac:dyDescent="0.25">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5" x14ac:dyDescent="0.25">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5" x14ac:dyDescent="0.25">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5" x14ac:dyDescent="0.25">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5" x14ac:dyDescent="0.25">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5" x14ac:dyDescent="0.25">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5" x14ac:dyDescent="0.25">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5" x14ac:dyDescent="0.25">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5" x14ac:dyDescent="0.25">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5" x14ac:dyDescent="0.25">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5" x14ac:dyDescent="0.25">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5" x14ac:dyDescent="0.25">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5" x14ac:dyDescent="0.25">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5" x14ac:dyDescent="0.25">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5" x14ac:dyDescent="0.25">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5" x14ac:dyDescent="0.25">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5" x14ac:dyDescent="0.25">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5" x14ac:dyDescent="0.25">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5" x14ac:dyDescent="0.25">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5" x14ac:dyDescent="0.25">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5" x14ac:dyDescent="0.25">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5" x14ac:dyDescent="0.25">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5" x14ac:dyDescent="0.25">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5" x14ac:dyDescent="0.25">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5" x14ac:dyDescent="0.25">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5" x14ac:dyDescent="0.25">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5" x14ac:dyDescent="0.25">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5" x14ac:dyDescent="0.25">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5" x14ac:dyDescent="0.25">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5" x14ac:dyDescent="0.25">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5" x14ac:dyDescent="0.25">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5" x14ac:dyDescent="0.25">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5" x14ac:dyDescent="0.25">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5" x14ac:dyDescent="0.25">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5" x14ac:dyDescent="0.25">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5" x14ac:dyDescent="0.25">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5" x14ac:dyDescent="0.25">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5" x14ac:dyDescent="0.25">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5" x14ac:dyDescent="0.25">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5" x14ac:dyDescent="0.25">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5" x14ac:dyDescent="0.25">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5" x14ac:dyDescent="0.25">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5" x14ac:dyDescent="0.25">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5" x14ac:dyDescent="0.25">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5" x14ac:dyDescent="0.25">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5" x14ac:dyDescent="0.25">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5" x14ac:dyDescent="0.25">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5" x14ac:dyDescent="0.25">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5" x14ac:dyDescent="0.25">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5" x14ac:dyDescent="0.25">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5" x14ac:dyDescent="0.25">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5" x14ac:dyDescent="0.25">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5" x14ac:dyDescent="0.25">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5" x14ac:dyDescent="0.25">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5" x14ac:dyDescent="0.25">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5" x14ac:dyDescent="0.25">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5" x14ac:dyDescent="0.25">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5" x14ac:dyDescent="0.25">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5" x14ac:dyDescent="0.25">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5" x14ac:dyDescent="0.25">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5" x14ac:dyDescent="0.25">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5.75" thickBot="1" x14ac:dyDescent="0.3">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5.75"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25"/>
    <row r="262" spans="2:37" ht="27" customHeight="1" x14ac:dyDescent="0.25"/>
    <row r="263" spans="2:37" ht="15" x14ac:dyDescent="0.25"/>
    <row r="264" spans="2:37" ht="15" x14ac:dyDescent="0.25"/>
    <row r="265" spans="2:37" ht="15" x14ac:dyDescent="0.25"/>
    <row r="266" spans="2:37" ht="15" x14ac:dyDescent="0.25"/>
    <row r="267" spans="2:37" ht="15" x14ac:dyDescent="0.25"/>
    <row r="268" spans="2:37" ht="15" x14ac:dyDescent="0.25"/>
    <row r="269" spans="2:37" ht="15" hidden="1" x14ac:dyDescent="0.25"/>
    <row r="270" spans="2:37" ht="15" hidden="1" x14ac:dyDescent="0.25"/>
    <row r="271" spans="2:37" ht="15" hidden="1" x14ac:dyDescent="0.25"/>
    <row r="272" spans="2:37" ht="15" hidden="1" x14ac:dyDescent="0.25"/>
    <row r="273" ht="15" hidden="1" x14ac:dyDescent="0.25"/>
    <row r="274" ht="15" hidden="1" x14ac:dyDescent="0.25"/>
    <row r="275" ht="15" hidden="1" x14ac:dyDescent="0.25"/>
    <row r="1048576" ht="15"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5546875" style="31" customWidth="1"/>
    <col min="2" max="2" width="14.140625" style="31" customWidth="1"/>
    <col min="3" max="3" width="51.140625" style="31" customWidth="1"/>
    <col min="4" max="4" width="10.42578125" style="31" customWidth="1"/>
    <col min="5" max="5" width="17.42578125" style="31" customWidth="1"/>
    <col min="6" max="6" width="17.5703125" style="31" customWidth="1"/>
    <col min="7" max="7" width="18.140625" style="31" customWidth="1"/>
    <col min="8" max="8" width="19.28515625" style="31" customWidth="1"/>
    <col min="9" max="9" width="34.5703125" style="31" customWidth="1"/>
    <col min="10" max="13" width="19.28515625" style="31" customWidth="1"/>
    <col min="14" max="14" width="56.85546875" style="31" customWidth="1"/>
    <col min="15" max="16" width="34.28515625" style="31" customWidth="1"/>
    <col min="17" max="17" width="9.7109375" style="31" customWidth="1"/>
    <col min="18" max="18" width="18.285156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0.42578125" style="31" customWidth="1"/>
    <col min="27" max="27" width="23.140625" style="31" customWidth="1"/>
    <col min="28" max="28" width="26.85546875" style="31" customWidth="1"/>
    <col min="29" max="29" width="18.42578125" style="31" customWidth="1"/>
    <col min="30" max="30" width="15.28515625" style="31" customWidth="1"/>
    <col min="31" max="31" width="17.7109375" style="31" customWidth="1"/>
    <col min="32" max="32" width="27.140625" style="31" customWidth="1"/>
    <col min="33" max="33" width="17.42578125" style="31" customWidth="1"/>
    <col min="34" max="34" width="12.7109375" style="31" customWidth="1"/>
    <col min="35" max="35" width="16.7109375" style="31" customWidth="1"/>
    <col min="36" max="36" width="12.7109375" style="31" customWidth="1"/>
    <col min="37" max="37" width="19.5703125" style="31" customWidth="1"/>
    <col min="38" max="38" width="12.7109375" style="31" customWidth="1"/>
    <col min="39" max="39" width="24.7109375" style="31" customWidth="1"/>
    <col min="40" max="41" width="12.7109375" style="31" customWidth="1"/>
    <col min="42" max="42" width="42.140625" style="31" customWidth="1"/>
    <col min="43" max="43" width="42.42578125" style="31" customWidth="1"/>
    <col min="44" max="49" width="8.85546875" style="31" customWidth="1"/>
    <col min="50" max="50" width="8.85546875" style="31" hidden="1" customWidth="1"/>
    <col min="51" max="58" width="0" style="31" hidden="1" customWidth="1"/>
    <col min="59" max="16384" width="8.85546875" style="31" hidden="1"/>
  </cols>
  <sheetData>
    <row r="1" spans="2:50" ht="20.45" customHeight="1" thickBot="1" x14ac:dyDescent="0.3"/>
    <row r="2" spans="2:50" ht="27" customHeight="1" thickBot="1" x14ac:dyDescent="0.3">
      <c r="B2" s="743" t="str">
        <f>IF([2]Start!$F$12="","",[2]Start!$F$12)</f>
        <v/>
      </c>
      <c r="C2" s="745"/>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x14ac:dyDescent="0.25">
      <c r="B3" s="1027" t="str">
        <f ca="1">MID(CELL("filename",A1),FIND("]",CELL("filename",A1))+1,256)</f>
        <v>F-3 Off Site River Enhancement</v>
      </c>
      <c r="C3" s="1028"/>
      <c r="Y3" s="919"/>
      <c r="Z3" s="919"/>
      <c r="AA3" s="919"/>
      <c r="AB3" s="919"/>
      <c r="AC3" s="919"/>
      <c r="AD3" s="919"/>
    </row>
    <row r="4" spans="2:50" ht="21" customHeight="1" thickBot="1" x14ac:dyDescent="0.3">
      <c r="B4" s="1029"/>
      <c r="C4" s="1030"/>
      <c r="Y4" s="919"/>
      <c r="Z4" s="919"/>
      <c r="AA4" s="919"/>
      <c r="AB4" s="919"/>
      <c r="AC4" s="919"/>
      <c r="AD4" s="919"/>
    </row>
    <row r="5" spans="2:50" ht="15.6" customHeight="1" x14ac:dyDescent="0.25">
      <c r="Q5" s="31" t="s">
        <v>340</v>
      </c>
      <c r="AH5" s="193"/>
      <c r="AI5" s="193"/>
      <c r="AJ5" s="193"/>
      <c r="AK5" s="193"/>
      <c r="AL5" s="193"/>
      <c r="AM5" s="193"/>
      <c r="AN5" s="193"/>
    </row>
    <row r="6" spans="2:50" ht="15" customHeight="1" x14ac:dyDescent="0.25"/>
    <row r="7" spans="2:50" ht="15" x14ac:dyDescent="0.25">
      <c r="C7" s="131"/>
    </row>
    <row r="8" spans="2:50" ht="15.75" thickBot="1" x14ac:dyDescent="0.3"/>
    <row r="9" spans="2:50" ht="15.75" thickBot="1" x14ac:dyDescent="0.3">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49"/>
    </row>
    <row r="10" spans="2:50" s="42" customFormat="1" ht="27" customHeight="1" thickBot="1" x14ac:dyDescent="0.3">
      <c r="C10" s="1005" t="s">
        <v>247</v>
      </c>
      <c r="D10" s="1011"/>
      <c r="E10" s="1011"/>
      <c r="F10" s="1011"/>
      <c r="G10" s="1011"/>
      <c r="H10" s="1011"/>
      <c r="I10" s="1011"/>
      <c r="J10" s="1011"/>
      <c r="K10" s="1011"/>
      <c r="L10" s="1011"/>
      <c r="M10" s="1011"/>
      <c r="N10" s="1033" t="s">
        <v>341</v>
      </c>
      <c r="O10" s="1031" t="s">
        <v>249</v>
      </c>
      <c r="P10" s="103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283</v>
      </c>
      <c r="AN10" s="966"/>
      <c r="AO10" s="960" t="s">
        <v>329</v>
      </c>
      <c r="AP10" s="879" t="s">
        <v>196</v>
      </c>
      <c r="AQ10" s="877"/>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5" x14ac:dyDescent="0.25">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5" x14ac:dyDescent="0.25">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5" x14ac:dyDescent="0.25">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5" x14ac:dyDescent="0.25">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5" x14ac:dyDescent="0.25">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5" x14ac:dyDescent="0.25">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5" x14ac:dyDescent="0.25">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5" x14ac:dyDescent="0.25">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5" x14ac:dyDescent="0.25">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5" x14ac:dyDescent="0.25">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5" x14ac:dyDescent="0.25">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5" x14ac:dyDescent="0.25">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5" x14ac:dyDescent="0.25">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5" x14ac:dyDescent="0.25">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5" x14ac:dyDescent="0.25">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5" x14ac:dyDescent="0.25">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5" x14ac:dyDescent="0.25">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5" x14ac:dyDescent="0.25">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5" x14ac:dyDescent="0.25">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5" x14ac:dyDescent="0.25">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5" x14ac:dyDescent="0.25">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5" x14ac:dyDescent="0.25">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5" x14ac:dyDescent="0.25">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5" x14ac:dyDescent="0.25">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5" x14ac:dyDescent="0.25">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5" x14ac:dyDescent="0.25">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5" x14ac:dyDescent="0.25">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5" x14ac:dyDescent="0.25">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5" x14ac:dyDescent="0.25">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5" x14ac:dyDescent="0.25">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5" x14ac:dyDescent="0.25">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5" x14ac:dyDescent="0.25">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5" x14ac:dyDescent="0.25">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5" x14ac:dyDescent="0.25">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5" x14ac:dyDescent="0.25">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5" x14ac:dyDescent="0.25">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5" x14ac:dyDescent="0.25">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5" x14ac:dyDescent="0.25">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5" x14ac:dyDescent="0.25">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5" x14ac:dyDescent="0.25">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5" x14ac:dyDescent="0.25">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5" x14ac:dyDescent="0.25">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5" x14ac:dyDescent="0.25">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5" x14ac:dyDescent="0.25">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5" x14ac:dyDescent="0.25">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5" x14ac:dyDescent="0.25">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5" x14ac:dyDescent="0.25">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5" x14ac:dyDescent="0.25">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5" x14ac:dyDescent="0.25">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5" x14ac:dyDescent="0.25">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5" x14ac:dyDescent="0.25">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5" x14ac:dyDescent="0.25">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5" x14ac:dyDescent="0.25">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5" x14ac:dyDescent="0.25">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5" x14ac:dyDescent="0.25">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5" x14ac:dyDescent="0.25">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5" x14ac:dyDescent="0.25">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5" x14ac:dyDescent="0.25">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5" x14ac:dyDescent="0.25">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5" x14ac:dyDescent="0.25">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5" x14ac:dyDescent="0.25">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5" x14ac:dyDescent="0.25">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5" x14ac:dyDescent="0.25">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5" x14ac:dyDescent="0.25">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5" x14ac:dyDescent="0.25">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5" x14ac:dyDescent="0.25">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5" x14ac:dyDescent="0.25">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5" x14ac:dyDescent="0.25">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5" x14ac:dyDescent="0.25">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5" x14ac:dyDescent="0.25">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5" x14ac:dyDescent="0.25">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5" x14ac:dyDescent="0.25">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5" x14ac:dyDescent="0.25">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5" x14ac:dyDescent="0.25">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5" x14ac:dyDescent="0.25">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5" x14ac:dyDescent="0.25">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5" x14ac:dyDescent="0.25">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5" x14ac:dyDescent="0.25">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5" x14ac:dyDescent="0.25">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5" x14ac:dyDescent="0.25">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5" x14ac:dyDescent="0.25">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5" x14ac:dyDescent="0.25">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5" x14ac:dyDescent="0.25">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5" x14ac:dyDescent="0.25">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5" x14ac:dyDescent="0.25">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5" x14ac:dyDescent="0.25">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5" x14ac:dyDescent="0.25">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5" x14ac:dyDescent="0.25">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5" x14ac:dyDescent="0.25">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5" x14ac:dyDescent="0.25">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5" x14ac:dyDescent="0.25">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5" x14ac:dyDescent="0.25">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5" x14ac:dyDescent="0.25">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5" x14ac:dyDescent="0.25">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5" x14ac:dyDescent="0.25">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5" x14ac:dyDescent="0.25">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5" x14ac:dyDescent="0.25">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5" x14ac:dyDescent="0.25">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5" x14ac:dyDescent="0.25">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5" x14ac:dyDescent="0.25">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5" x14ac:dyDescent="0.25">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5" x14ac:dyDescent="0.25">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5" x14ac:dyDescent="0.25">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5" x14ac:dyDescent="0.25">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5" x14ac:dyDescent="0.25">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5" x14ac:dyDescent="0.25">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5" x14ac:dyDescent="0.25">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5" x14ac:dyDescent="0.25">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5" x14ac:dyDescent="0.25">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5" x14ac:dyDescent="0.25">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5" x14ac:dyDescent="0.25">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5" x14ac:dyDescent="0.25">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5" x14ac:dyDescent="0.25">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5" x14ac:dyDescent="0.25">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5" x14ac:dyDescent="0.25">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5" x14ac:dyDescent="0.25">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5" x14ac:dyDescent="0.25">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5" x14ac:dyDescent="0.25">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5" x14ac:dyDescent="0.25">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5" x14ac:dyDescent="0.25">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5" x14ac:dyDescent="0.25">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5" x14ac:dyDescent="0.25">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5" x14ac:dyDescent="0.25">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5" x14ac:dyDescent="0.25">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5" x14ac:dyDescent="0.25">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5" x14ac:dyDescent="0.25">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5" x14ac:dyDescent="0.25">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5" x14ac:dyDescent="0.25">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5" x14ac:dyDescent="0.25">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5" x14ac:dyDescent="0.25">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5" x14ac:dyDescent="0.25">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5" x14ac:dyDescent="0.25">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5" x14ac:dyDescent="0.25">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5" x14ac:dyDescent="0.25">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5" x14ac:dyDescent="0.25">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5" x14ac:dyDescent="0.25">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5" x14ac:dyDescent="0.25">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5" x14ac:dyDescent="0.25">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5" x14ac:dyDescent="0.25">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5" x14ac:dyDescent="0.25">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5" x14ac:dyDescent="0.25">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5" x14ac:dyDescent="0.25">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5" x14ac:dyDescent="0.25">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5" x14ac:dyDescent="0.25">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5" x14ac:dyDescent="0.25">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5" x14ac:dyDescent="0.25">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5" x14ac:dyDescent="0.25">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5" x14ac:dyDescent="0.25">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5" x14ac:dyDescent="0.25">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5" x14ac:dyDescent="0.25">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5" x14ac:dyDescent="0.25">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5" x14ac:dyDescent="0.25">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5" x14ac:dyDescent="0.25">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5" x14ac:dyDescent="0.25">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5" x14ac:dyDescent="0.25">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5" x14ac:dyDescent="0.25">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5" x14ac:dyDescent="0.25">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5" x14ac:dyDescent="0.25">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5" x14ac:dyDescent="0.25">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5" x14ac:dyDescent="0.25">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5" x14ac:dyDescent="0.25">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5" x14ac:dyDescent="0.25">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5" x14ac:dyDescent="0.25">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5" x14ac:dyDescent="0.25">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5" x14ac:dyDescent="0.25">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5" x14ac:dyDescent="0.25">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5" x14ac:dyDescent="0.25">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5" x14ac:dyDescent="0.25">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5" x14ac:dyDescent="0.25">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5" x14ac:dyDescent="0.25">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5" x14ac:dyDescent="0.25">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5" x14ac:dyDescent="0.25">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5" x14ac:dyDescent="0.25">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5" x14ac:dyDescent="0.25">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5" x14ac:dyDescent="0.25">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5" x14ac:dyDescent="0.25">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5" x14ac:dyDescent="0.25">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5" x14ac:dyDescent="0.25">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5" x14ac:dyDescent="0.25">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5" x14ac:dyDescent="0.25">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5" x14ac:dyDescent="0.25">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5" x14ac:dyDescent="0.25">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5" x14ac:dyDescent="0.25">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5" x14ac:dyDescent="0.25">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5" x14ac:dyDescent="0.25">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5" x14ac:dyDescent="0.25">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5" x14ac:dyDescent="0.25">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5" x14ac:dyDescent="0.25">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5" x14ac:dyDescent="0.25">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5" x14ac:dyDescent="0.25">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5" x14ac:dyDescent="0.25">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5" x14ac:dyDescent="0.25">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5" x14ac:dyDescent="0.25">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5" x14ac:dyDescent="0.25">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5" x14ac:dyDescent="0.25">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5" x14ac:dyDescent="0.25">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5" x14ac:dyDescent="0.25">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5" x14ac:dyDescent="0.25">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5" x14ac:dyDescent="0.25">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5" x14ac:dyDescent="0.25">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5" x14ac:dyDescent="0.25">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5" x14ac:dyDescent="0.25">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5" x14ac:dyDescent="0.25">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5" x14ac:dyDescent="0.25">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5" x14ac:dyDescent="0.25">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5" x14ac:dyDescent="0.25">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5" x14ac:dyDescent="0.25">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5" x14ac:dyDescent="0.25">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5" x14ac:dyDescent="0.25">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5" x14ac:dyDescent="0.25">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5" x14ac:dyDescent="0.25">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5" x14ac:dyDescent="0.25">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5" x14ac:dyDescent="0.25">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5" x14ac:dyDescent="0.25">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5" x14ac:dyDescent="0.25">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5" x14ac:dyDescent="0.25">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5" x14ac:dyDescent="0.25">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5" x14ac:dyDescent="0.25">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5" x14ac:dyDescent="0.25">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5" x14ac:dyDescent="0.25">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5" x14ac:dyDescent="0.25">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5" x14ac:dyDescent="0.25">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5" x14ac:dyDescent="0.25">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5" x14ac:dyDescent="0.25">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5" x14ac:dyDescent="0.25">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5" x14ac:dyDescent="0.25">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5" x14ac:dyDescent="0.25">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5" x14ac:dyDescent="0.25">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5" x14ac:dyDescent="0.25">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5" x14ac:dyDescent="0.25">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5" x14ac:dyDescent="0.25">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5" x14ac:dyDescent="0.25">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5" x14ac:dyDescent="0.25">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5" x14ac:dyDescent="0.25">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5" x14ac:dyDescent="0.25">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5" x14ac:dyDescent="0.25">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5" x14ac:dyDescent="0.25">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5" x14ac:dyDescent="0.25">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5" x14ac:dyDescent="0.25">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5" x14ac:dyDescent="0.25">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5" x14ac:dyDescent="0.25">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5" x14ac:dyDescent="0.25">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5" x14ac:dyDescent="0.25">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5" x14ac:dyDescent="0.25">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5" x14ac:dyDescent="0.25">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5.75" thickBot="1" x14ac:dyDescent="0.3">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5.75" thickBot="1" x14ac:dyDescent="0.3">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5" x14ac:dyDescent="0.25">
      <c r="AJ259" s="31" t="str">
        <f>IF(AI259="","",IF(VLOOKUP(AI259,'[2]G-7 Rivers Data'!$AA$4:$AB$6,2,FALSE)=0,"Spatial Data Missing",VLOOKUP(AI259,'[2]G-7 Rivers Data'!$AA$4:$AB$6,2,FALSE)))</f>
        <v/>
      </c>
      <c r="AM259" s="40"/>
    </row>
    <row r="260" spans="2:50" ht="15" x14ac:dyDescent="0.25"/>
    <row r="261" spans="2:50" ht="15" x14ac:dyDescent="0.25"/>
    <row r="262" spans="2:50" ht="15" x14ac:dyDescent="0.25"/>
    <row r="263" spans="2:50" ht="15" x14ac:dyDescent="0.25"/>
    <row r="264" spans="2:50" ht="15" x14ac:dyDescent="0.25"/>
    <row r="265" spans="2:50" ht="15" x14ac:dyDescent="0.25"/>
    <row r="266" spans="2:50" ht="15"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Q10:Q11"/>
    <mergeCell ref="R10:S10"/>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40625" defaultRowHeight="15" zeroHeight="1" x14ac:dyDescent="0.25"/>
  <cols>
    <col min="1" max="1" width="30.42578125" style="31" customWidth="1"/>
    <col min="2" max="2" width="77" style="31" bestFit="1" customWidth="1"/>
    <col min="3" max="3" width="26.28515625" style="31" bestFit="1" customWidth="1"/>
    <col min="4" max="4" width="13.7109375" style="31" bestFit="1" customWidth="1"/>
    <col min="5" max="5" width="19.85546875" style="31" bestFit="1" customWidth="1"/>
    <col min="6" max="6" width="25.28515625" style="31" bestFit="1" customWidth="1"/>
    <col min="7" max="7" width="19.85546875" style="31" bestFit="1" customWidth="1"/>
    <col min="8" max="8" width="82.140625" style="31" bestFit="1" customWidth="1"/>
    <col min="9" max="9" width="26.140625" style="31" customWidth="1"/>
    <col min="10" max="10" width="60.5703125" style="31" bestFit="1" customWidth="1"/>
    <col min="11" max="11" width="21.140625" style="31" bestFit="1" customWidth="1"/>
    <col min="12" max="12" width="28.28515625" style="31" bestFit="1" customWidth="1"/>
    <col min="13" max="13" width="66" style="31" customWidth="1"/>
    <col min="14" max="14" width="27.42578125" style="31" bestFit="1" customWidth="1"/>
    <col min="15" max="15" width="16.42578125" style="31" bestFit="1" customWidth="1"/>
    <col min="16" max="16" width="27.42578125" style="31" bestFit="1" customWidth="1"/>
    <col min="17" max="17" width="16.42578125" style="31" bestFit="1" customWidth="1"/>
    <col min="18" max="18" width="28.42578125" style="42" bestFit="1" customWidth="1"/>
    <col min="19" max="19" width="30.140625" style="31" bestFit="1" customWidth="1"/>
    <col min="20" max="23" width="26.140625" style="31" customWidth="1"/>
    <col min="24" max="24" width="30.140625" style="31" customWidth="1"/>
    <col min="25" max="27" width="26.140625" style="31" customWidth="1"/>
    <col min="28" max="33" width="31.28515625" style="31" customWidth="1"/>
    <col min="34" max="16383" width="4.140625" style="31"/>
    <col min="16384" max="16384" width="2.28515625" style="31" hidden="1" customWidth="1"/>
  </cols>
  <sheetData>
    <row r="1" spans="1:33" ht="57.6" customHeight="1" x14ac:dyDescent="0.3">
      <c r="D1" s="1039" t="s">
        <v>342</v>
      </c>
      <c r="E1" s="1039"/>
      <c r="F1" s="1039"/>
      <c r="G1" s="211"/>
      <c r="H1" s="211"/>
      <c r="I1" s="211"/>
      <c r="J1" s="211"/>
      <c r="V1" s="954" t="s">
        <v>343</v>
      </c>
      <c r="W1" s="1036"/>
      <c r="X1" s="956"/>
      <c r="Z1" s="954" t="s">
        <v>344</v>
      </c>
      <c r="AA1" s="956"/>
      <c r="AF1" s="1037" t="s">
        <v>345</v>
      </c>
      <c r="AG1" s="1037" t="s">
        <v>346</v>
      </c>
    </row>
    <row r="2" spans="1:33" s="117" customFormat="1" ht="41.45" customHeight="1" x14ac:dyDescent="0.25">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8.5" x14ac:dyDescent="0.25">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25">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2.75" x14ac:dyDescent="0.25">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8.5" x14ac:dyDescent="0.25">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x14ac:dyDescent="0.25">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25">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25">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25">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25">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5.75" thickBot="1" x14ac:dyDescent="0.3">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25">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25">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25">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25">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25">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25">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25">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25">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25">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25">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25">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25">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5.75" thickBot="1" x14ac:dyDescent="0.3">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25">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25">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25">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25">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25">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25">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30" x14ac:dyDescent="0.25">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25">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25">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25">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25">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5.75" thickBot="1" x14ac:dyDescent="0.3">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25">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25">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25">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25">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25">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25">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25">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25">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25">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25">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5.75" thickBot="1" x14ac:dyDescent="0.3">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25">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25">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25">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25">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25">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25">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25">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5.75" thickBot="1" x14ac:dyDescent="0.3">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25">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25">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25">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25">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25">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25">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25">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25">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25">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25">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25">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25">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25">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25">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25">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25">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25">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25">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25">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25">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5.75" thickBot="1" x14ac:dyDescent="0.3">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25">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25">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25">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25">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25">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25">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25">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5.75" thickBot="1" x14ac:dyDescent="0.3">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25">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25">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25">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25">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25">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25">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25">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25">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25">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25">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25">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25">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5.75" thickBot="1" x14ac:dyDescent="0.3">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5.75" thickBot="1" x14ac:dyDescent="0.3">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25">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25">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25">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25">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25">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25">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25">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5.75" thickBot="1" x14ac:dyDescent="0.3">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25">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5.75" thickBot="1" x14ac:dyDescent="0.3">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25">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25">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25">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25">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25">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25">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25">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25">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25">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25">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25">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25">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25">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25">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25">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25">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5.75" thickBot="1" x14ac:dyDescent="0.3">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25">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25">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30" x14ac:dyDescent="0.25">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2578125" defaultRowHeight="15" x14ac:dyDescent="0.25"/>
  <cols>
    <col min="1" max="1" width="88.85546875" style="31" bestFit="1" customWidth="1"/>
    <col min="2" max="2" width="27.7109375" style="31" customWidth="1"/>
    <col min="3" max="3" width="18.5703125" style="31" customWidth="1"/>
    <col min="4" max="4" width="62.85546875" style="31" bestFit="1" customWidth="1"/>
    <col min="5" max="35" width="16.42578125" style="31"/>
    <col min="36" max="36" width="23.7109375" style="31" customWidth="1"/>
    <col min="37" max="38" width="16.42578125" style="31"/>
    <col min="39" max="39" width="23" style="31" customWidth="1"/>
    <col min="40" max="40" width="23.42578125" style="31" customWidth="1"/>
    <col min="41" max="41" width="21.7109375" style="31" customWidth="1"/>
    <col min="42" max="42" width="23.5703125" style="31" customWidth="1"/>
    <col min="43" max="46" width="16.42578125" style="31"/>
    <col min="47" max="47" width="78.42578125" style="31" customWidth="1"/>
    <col min="48" max="48" width="24.42578125" style="31" bestFit="1" customWidth="1"/>
    <col min="49" max="49" width="16.85546875" style="31" bestFit="1" customWidth="1"/>
    <col min="50" max="50" width="23.5703125" style="31" bestFit="1" customWidth="1"/>
    <col min="51" max="51" width="28.140625" style="31" customWidth="1"/>
    <col min="52" max="52" width="29.28515625" style="31" bestFit="1" customWidth="1"/>
    <col min="53" max="53" width="26.140625" style="31" bestFit="1" customWidth="1"/>
    <col min="54" max="54" width="25.85546875" style="31" bestFit="1" customWidth="1"/>
    <col min="55" max="55" width="28.140625" style="31" bestFit="1" customWidth="1"/>
    <col min="56" max="57" width="34.7109375" style="31" bestFit="1" customWidth="1"/>
    <col min="58" max="58" width="27.140625" style="31" bestFit="1" customWidth="1"/>
    <col min="59" max="59" width="9.140625" style="31" bestFit="1" customWidth="1"/>
    <col min="60" max="16384" width="16.42578125" style="31"/>
  </cols>
  <sheetData>
    <row r="1" spans="1:59" ht="51.6" customHeight="1" x14ac:dyDescent="0.45">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3.25" x14ac:dyDescent="0.3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5" customHeight="1" x14ac:dyDescent="0.45">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5" x14ac:dyDescent="0.2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5"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1.48</v>
      </c>
      <c r="AL5" s="100">
        <f t="shared" si="11"/>
        <v>2.96</v>
      </c>
      <c r="AM5" s="100">
        <f t="shared" si="12"/>
        <v>1.4</v>
      </c>
      <c r="AN5" s="100">
        <f t="shared" si="13"/>
        <v>2.8</v>
      </c>
      <c r="AO5" s="111">
        <f t="shared" si="14"/>
        <v>-8.0000000000000071E-2</v>
      </c>
      <c r="AP5" s="111">
        <f t="shared" si="15"/>
        <v>-0.16000000000000014</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45"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45"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0.04</v>
      </c>
      <c r="AL7" s="100">
        <f t="shared" si="11"/>
        <v>0.55199999999999994</v>
      </c>
      <c r="AM7" s="100">
        <f t="shared" si="12"/>
        <v>0.04</v>
      </c>
      <c r="AN7" s="100">
        <f t="shared" si="13"/>
        <v>0.55199999999999994</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45"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45"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2.6799999999999997</v>
      </c>
      <c r="AL9" s="100">
        <f t="shared" si="11"/>
        <v>27.087999999999997</v>
      </c>
      <c r="AM9" s="100">
        <f t="shared" si="12"/>
        <v>2.9000000000000004</v>
      </c>
      <c r="AN9" s="100">
        <f t="shared" si="13"/>
        <v>27.301156050687997</v>
      </c>
      <c r="AO9" s="111">
        <f t="shared" si="14"/>
        <v>0.22000000000000017</v>
      </c>
      <c r="AP9" s="111">
        <f t="shared" si="15"/>
        <v>0.21315605068799925</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45"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0.54</v>
      </c>
      <c r="AL11" s="100">
        <f t="shared" si="11"/>
        <v>7.452</v>
      </c>
      <c r="AM11" s="100">
        <f t="shared" si="12"/>
        <v>0.54</v>
      </c>
      <c r="AN11" s="100">
        <f t="shared" si="13"/>
        <v>7.452</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45"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45"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45" customHeight="1" x14ac:dyDescent="0.25">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1.5" x14ac:dyDescent="0.25">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1.48</v>
      </c>
      <c r="F20" s="493">
        <f>SUMIF('A-1 Site Habitat Baseline'!$G$11:$G$258,'G-2 Habitat groups'!A20,'A-1 Site Habitat Baseline'!$Q$11:$Q$258)</f>
        <v>2.96</v>
      </c>
      <c r="G20" s="493">
        <f>SUMIF('A-1 Site Habitat Baseline'!$G$11:$G$258,'G-2 Habitat groups'!A20,'A-1 Site Habitat Baseline'!$S$11:$S$258)</f>
        <v>1.4</v>
      </c>
      <c r="H20" s="493">
        <f>SUMIF('A-1 Site Habitat Baseline'!$G$11:$G$258,'G-2 Habitat groups'!A20,'A-1 Site Habitat Baseline'!$U$11:$U$258)</f>
        <v>2.8</v>
      </c>
      <c r="I20" s="493">
        <f>SUMIF('A-1 Site Habitat Baseline'!$G$11:$G$258,'G-2 Habitat groups'!A20,'A-1 Site Habitat Baseline'!$W$11:$W$258)</f>
        <v>8.0000000000000071E-2</v>
      </c>
      <c r="J20" s="493">
        <f>SUMIF('A-1 Site Habitat Baseline'!$G$11:$G$258,'G-2 Habitat groups'!A20,'A-1 Site Habitat Baseline'!$X$11:$X$258)</f>
        <v>0.16000000000000014</v>
      </c>
      <c r="K20" s="493">
        <f>SUMIF('A-2 Site Habitat Creation'!$F$11:$F$256,'G-2 Habitat groups'!A20,'A-2 Site Habitat Creation'!$G$11:$G$256)</f>
        <v>0</v>
      </c>
      <c r="L20" s="493">
        <f>SUMIF('A-2 Site Habitat Creation'!$F$11:$F$256,'G-2 Habitat groups'!A20,'A-2 Site Habitat Creation'!$Y$11:$Y$256)</f>
        <v>0</v>
      </c>
      <c r="M20" s="493">
        <f>SUMIF('A-3 Site Habitat Enhancement'!$S$12:$S$257,'G-2 Habitat groups'!A20,'A-3 Site Habitat Enhancement'!$V$12:$V$257)</f>
        <v>0</v>
      </c>
      <c r="N20" s="493">
        <f>SUMIF('A-3 Site Habitat Enhancement'!$S$12:$S$257,'G-2 Habitat groups'!A20,'A-3 Site Habitat Enhancement'!$AN$12:$AN$257)</f>
        <v>0</v>
      </c>
      <c r="O20" s="493">
        <f t="shared" si="0"/>
        <v>1.4</v>
      </c>
      <c r="P20" s="493">
        <f t="shared" si="1"/>
        <v>2.8</v>
      </c>
      <c r="Q20" s="493">
        <f t="shared" si="2"/>
        <v>-8.0000000000000071E-2</v>
      </c>
      <c r="R20" s="493">
        <f t="shared" si="3"/>
        <v>-0.16000000000000014</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-8.0000000000000071E-2</v>
      </c>
      <c r="AF20" s="493">
        <f t="shared" si="9"/>
        <v>-0.16000000000000014</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25">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0.04</v>
      </c>
      <c r="F47" s="493">
        <f>SUMIF('A-1 Site Habitat Baseline'!$G$11:$G$258,'G-2 Habitat groups'!A47,'A-1 Site Habitat Baseline'!$Q$11:$Q$258)</f>
        <v>0.55199999999999994</v>
      </c>
      <c r="G47" s="493">
        <f>SUMIF('A-1 Site Habitat Baseline'!$G$11:$G$258,'G-2 Habitat groups'!A47,'A-1 Site Habitat Baseline'!$S$11:$S$258)</f>
        <v>0.04</v>
      </c>
      <c r="H47" s="493">
        <f>SUMIF('A-1 Site Habitat Baseline'!$G$11:$G$258,'G-2 Habitat groups'!A47,'A-1 Site Habitat Baseline'!$U$11:$U$258)</f>
        <v>0.55199999999999994</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0.04</v>
      </c>
      <c r="P47" s="493">
        <f t="shared" si="54"/>
        <v>0.55199999999999994</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0.31</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0.31</v>
      </c>
      <c r="J62" s="493">
        <f>SUMIF('A-1 Site Habitat Baseline'!$G$11:$G$258,'G-2 Habitat groups'!A62,'A-1 Site Habitat Baseline'!$X$11:$X$258)</f>
        <v>0</v>
      </c>
      <c r="K62" s="493">
        <f>SUMIF('A-2 Site Habitat Creation'!$F$11:$F$256,'G-2 Habitat groups'!A62,'A-2 Site Habitat Creation'!$G$11:$G$256)</f>
        <v>0.22</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0.22</v>
      </c>
      <c r="P62" s="493">
        <f t="shared" si="54"/>
        <v>0</v>
      </c>
      <c r="Q62" s="493">
        <f t="shared" si="55"/>
        <v>-0.09</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-0.09</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0.39</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0.39</v>
      </c>
      <c r="J64" s="493">
        <f>SUMIF('A-1 Site Habitat Baseline'!$G$11:$G$258,'G-2 Habitat groups'!A64,'A-1 Site Habitat Baseline'!$X$11:$X$258)</f>
        <v>0</v>
      </c>
      <c r="K64" s="493">
        <f>SUMIF('A-2 Site Habitat Creation'!$F$11:$F$256,'G-2 Habitat groups'!A64,'A-2 Site Habitat Creation'!$G$11:$G$256)</f>
        <v>0.56000000000000005</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0.56000000000000005</v>
      </c>
      <c r="P64" s="493">
        <f t="shared" si="54"/>
        <v>0</v>
      </c>
      <c r="Q64" s="493">
        <f t="shared" si="55"/>
        <v>0.17000000000000004</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0.17000000000000004</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0.02</v>
      </c>
      <c r="F70" s="493">
        <f>SUMIF('A-1 Site Habitat Baseline'!$G$11:$G$258,'G-2 Habitat groups'!A70,'A-1 Site Habitat Baseline'!$Q$11:$Q$258)</f>
        <v>0.04</v>
      </c>
      <c r="G70" s="493">
        <f>SUMIF('A-1 Site Habitat Baseline'!$G$11:$G$258,'G-2 Habitat groups'!A70,'A-1 Site Habitat Baseline'!$S$11:$S$258)</f>
        <v>0.02</v>
      </c>
      <c r="H70" s="493">
        <f>SUMIF('A-1 Site Habitat Baseline'!$G$11:$G$258,'G-2 Habitat groups'!A70,'A-1 Site Habitat Baseline'!$U$11:$U$258)</f>
        <v>0.04</v>
      </c>
      <c r="I70" s="493">
        <f>SUMIF('A-1 Site Habitat Baseline'!$G$11:$G$258,'G-2 Habitat groups'!A70,'A-1 Site Habitat Baseline'!$W$11:$W$258)</f>
        <v>0</v>
      </c>
      <c r="J70" s="493">
        <f>SUMIF('A-1 Site Habitat Baseline'!$G$11:$G$258,'G-2 Habitat groups'!A70,'A-1 Site Habitat Baseline'!$X$11:$X$258)</f>
        <v>0</v>
      </c>
      <c r="K70" s="493">
        <f>SUMIF('A-2 Site Habitat Creation'!$F$11:$F$256,'G-2 Habitat groups'!A70,'A-2 Site Habitat Creation'!$G$11:$G$256)</f>
        <v>0</v>
      </c>
      <c r="L70" s="493">
        <f>SUMIF('A-2 Site Habitat Creation'!$F$11:$F$256,'G-2 Habitat groups'!A70,'A-2 Site Habitat Creation'!$Y$11:$Y$256)</f>
        <v>0</v>
      </c>
      <c r="M70" s="493">
        <f>SUMIF('A-3 Site Habitat Enhancement'!$S$12:$S$257,'G-2 Habitat groups'!A70,'A-3 Site Habitat Enhancement'!$V$12:$V$257)</f>
        <v>0</v>
      </c>
      <c r="N70" s="493">
        <f>SUMIF('A-3 Site Habitat Enhancement'!$S$12:$S$257,'G-2 Habitat groups'!A70,'A-3 Site Habitat Enhancement'!$AN$12:$AN$257)</f>
        <v>0</v>
      </c>
      <c r="O70" s="493">
        <f t="shared" si="63"/>
        <v>0.02</v>
      </c>
      <c r="P70" s="493">
        <f t="shared" si="64"/>
        <v>0.04</v>
      </c>
      <c r="Q70" s="493">
        <f t="shared" si="65"/>
        <v>0</v>
      </c>
      <c r="R70" s="493">
        <f t="shared" si="66"/>
        <v>0</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0</v>
      </c>
      <c r="AF70" s="493">
        <f t="shared" si="72"/>
        <v>0</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1.96</v>
      </c>
      <c r="F74" s="493">
        <f>SUMIF('A-1 Site Habitat Baseline'!$G$11:$G$258,'G-2 Habitat groups'!A74,'A-1 Site Habitat Baseline'!$Q$11:$Q$258)</f>
        <v>27.047999999999998</v>
      </c>
      <c r="G74" s="493">
        <f>SUMIF('A-1 Site Habitat Baseline'!$G$11:$G$258,'G-2 Habitat groups'!A74,'A-1 Site Habitat Baseline'!$S$11:$S$258)</f>
        <v>1.94</v>
      </c>
      <c r="H74" s="493">
        <f>SUMIF('A-1 Site Habitat Baseline'!$G$11:$G$258,'G-2 Habitat groups'!A74,'A-1 Site Habitat Baseline'!$U$11:$U$258)</f>
        <v>26.771999999999998</v>
      </c>
      <c r="I74" s="493">
        <f>SUMIF('A-1 Site Habitat Baseline'!$G$11:$G$258,'G-2 Habitat groups'!A74,'A-1 Site Habitat Baseline'!$W$11:$W$258)</f>
        <v>2.0000000000000018E-2</v>
      </c>
      <c r="J74" s="493">
        <f>SUMIF('A-1 Site Habitat Baseline'!$G$11:$G$258,'G-2 Habitat groups'!A74,'A-1 Site Habitat Baseline'!$X$11:$X$258)</f>
        <v>0.2759999999999998</v>
      </c>
      <c r="K74" s="493">
        <f>SUMIF('A-2 Site Habitat Creation'!$F$11:$F$256,'G-2 Habitat groups'!A74,'A-2 Site Habitat Creation'!$G$11:$G$256)</f>
        <v>0.16</v>
      </c>
      <c r="L74" s="493">
        <f>SUMIF('A-2 Site Habitat Creation'!$F$11:$F$256,'G-2 Habitat groups'!A74,'A-2 Site Habitat Creation'!$Y$11:$Y$256)</f>
        <v>0.489156050688</v>
      </c>
      <c r="M74" s="493">
        <f>SUMIF('A-3 Site Habitat Enhancement'!$S$12:$S$257,'G-2 Habitat groups'!A74,'A-3 Site Habitat Enhancement'!$V$12:$V$257)</f>
        <v>0</v>
      </c>
      <c r="N74" s="493">
        <f>SUMIF('A-3 Site Habitat Enhancement'!$S$12:$S$257,'G-2 Habitat groups'!A74,'A-3 Site Habitat Enhancement'!$AN$12:$AN$257)</f>
        <v>0</v>
      </c>
      <c r="O74" s="493">
        <f t="shared" si="63"/>
        <v>2.1</v>
      </c>
      <c r="P74" s="493">
        <f t="shared" si="64"/>
        <v>27.261156050687998</v>
      </c>
      <c r="Q74" s="493">
        <f t="shared" si="65"/>
        <v>0.14000000000000012</v>
      </c>
      <c r="R74" s="493">
        <f t="shared" si="66"/>
        <v>0.21315605068799925</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0.14000000000000012</v>
      </c>
      <c r="AF74" s="493">
        <f t="shared" si="72"/>
        <v>0.21315605068799925</v>
      </c>
    </row>
    <row r="75" spans="1:59" ht="34.5" x14ac:dyDescent="0.45">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25">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0.04</v>
      </c>
      <c r="AX90" s="493">
        <f t="shared" si="90"/>
        <v>0</v>
      </c>
      <c r="AY90" s="493">
        <f t="shared" si="91"/>
        <v>0.04</v>
      </c>
      <c r="AZ90" s="493">
        <f t="shared" si="92"/>
        <v>0.55199999999999994</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0.54</v>
      </c>
      <c r="F93" s="493">
        <f>SUMIF('A-1 Site Habitat Baseline'!$G$11:$G$258,'G-2 Habitat groups'!A93,'A-1 Site Habitat Baseline'!$Q$11:$Q$258)</f>
        <v>7.452</v>
      </c>
      <c r="G93" s="493">
        <f>SUMIF('A-1 Site Habitat Baseline'!$G$11:$G$258,'G-2 Habitat groups'!A93,'A-1 Site Habitat Baseline'!$S$11:$S$258)</f>
        <v>0.54</v>
      </c>
      <c r="H93" s="493">
        <f>SUMIF('A-1 Site Habitat Baseline'!$G$11:$G$258,'G-2 Habitat groups'!A93,'A-1 Site Habitat Baseline'!$U$11:$U$258)</f>
        <v>7.452</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0.54</v>
      </c>
      <c r="P93" s="493">
        <f t="shared" si="64"/>
        <v>7.452</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0.54</v>
      </c>
      <c r="AX96" s="493">
        <f t="shared" si="90"/>
        <v>0</v>
      </c>
      <c r="AY96" s="493">
        <f t="shared" si="91"/>
        <v>0.54</v>
      </c>
      <c r="AZ96" s="493">
        <f t="shared" si="92"/>
        <v>7.452</v>
      </c>
      <c r="BA96" s="493">
        <f t="shared" si="93"/>
        <v>0</v>
      </c>
      <c r="BB96" s="493">
        <f t="shared" si="94"/>
        <v>0</v>
      </c>
      <c r="BC96" s="493">
        <f t="shared" si="95"/>
        <v>0</v>
      </c>
      <c r="BD96" s="493">
        <f t="shared" si="96"/>
        <v>0</v>
      </c>
      <c r="BE96" s="493">
        <f>BB96+BD96</f>
        <v>0</v>
      </c>
      <c r="BF96" s="493"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30" x14ac:dyDescent="0.25">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4.5" x14ac:dyDescent="0.45">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25">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1.48</v>
      </c>
      <c r="AX116" s="493">
        <f t="shared" si="125"/>
        <v>0.16000000000000014</v>
      </c>
      <c r="AY116" s="493">
        <f t="shared" si="126"/>
        <v>1.4</v>
      </c>
      <c r="AZ116" s="493">
        <f t="shared" si="127"/>
        <v>2.8</v>
      </c>
      <c r="BA116" s="493">
        <f t="shared" si="128"/>
        <v>-8.0000000000000071E-2</v>
      </c>
      <c r="BB116" s="493">
        <f t="shared" si="129"/>
        <v>-0.16000000000000014</v>
      </c>
      <c r="BC116" s="493">
        <f t="shared" si="130"/>
        <v>0</v>
      </c>
      <c r="BD116" s="493">
        <f t="shared" si="131"/>
        <v>0</v>
      </c>
      <c r="BE116" s="493">
        <f t="shared" si="123"/>
        <v>-0.16000000000000014</v>
      </c>
      <c r="BF116" s="493">
        <f t="shared" si="124"/>
        <v>-0.16000000000000014</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0.02</v>
      </c>
      <c r="AX127" s="493">
        <f t="shared" si="125"/>
        <v>0</v>
      </c>
      <c r="AY127" s="493">
        <f t="shared" si="126"/>
        <v>0.02</v>
      </c>
      <c r="AZ127" s="493">
        <f t="shared" si="127"/>
        <v>0.04</v>
      </c>
      <c r="BA127" s="493">
        <f t="shared" si="128"/>
        <v>0</v>
      </c>
      <c r="BB127" s="493">
        <f t="shared" si="129"/>
        <v>0</v>
      </c>
      <c r="BC127" s="493">
        <f t="shared" si="130"/>
        <v>0</v>
      </c>
      <c r="BD127" s="493">
        <f t="shared" si="131"/>
        <v>0</v>
      </c>
      <c r="BE127" s="493">
        <f t="shared" si="123"/>
        <v>0</v>
      </c>
      <c r="BF127" s="493" t="str">
        <f t="shared" si="124"/>
        <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1.96</v>
      </c>
      <c r="AX130" s="493">
        <f t="shared" si="125"/>
        <v>0.2759999999999998</v>
      </c>
      <c r="AY130" s="493">
        <f t="shared" si="126"/>
        <v>2.1</v>
      </c>
      <c r="AZ130" s="493">
        <f t="shared" si="127"/>
        <v>27.261156050687998</v>
      </c>
      <c r="BA130" s="493">
        <f t="shared" si="128"/>
        <v>0.14000000000000012</v>
      </c>
      <c r="BB130" s="493">
        <f t="shared" si="129"/>
        <v>0.21315605068799925</v>
      </c>
      <c r="BC130" s="493">
        <f t="shared" si="130"/>
        <v>0</v>
      </c>
      <c r="BD130" s="493">
        <f t="shared" si="131"/>
        <v>0</v>
      </c>
      <c r="BE130" s="493">
        <f t="shared" si="123"/>
        <v>0.21315605068799925</v>
      </c>
      <c r="BF130" s="493" t="str">
        <f t="shared" si="124"/>
        <v/>
      </c>
    </row>
    <row r="131" spans="1:58" x14ac:dyDescent="0.25">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25">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x14ac:dyDescent="0.25">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x14ac:dyDescent="0.25">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25">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25">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25">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25">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25">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25">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75" x14ac:dyDescent="0.4">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25">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25">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3.25" x14ac:dyDescent="0.3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1.25"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4.5" x14ac:dyDescent="0.45">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v>
      </c>
      <c r="L150" s="591">
        <f>SUMIF('B-2 Site Hedge Creation'!$D$12:$D$259,'G-2 Habitat groups'!A150,'B-2 Site Hedge Creation'!$W$12:$W$259)</f>
        <v>0</v>
      </c>
      <c r="M150" s="591">
        <f>SUMIF('B-3 Site Hedge Enhancement'!$M$12:$M$257,'G-2 Habitat groups'!A150,'B-3 Site Hedge Enhancement'!$P$12:$P$257)</f>
        <v>0</v>
      </c>
      <c r="N150" s="591">
        <f>SUMIF('B-3 Site Hedge Enhancement'!$M$12:$M$257,'G-2 Habitat groups'!A150,'B-3 Site Hedge Enhancement'!$AH$12:$AH$257)</f>
        <v>0</v>
      </c>
      <c r="O150" s="591">
        <f t="shared" si="143"/>
        <v>0</v>
      </c>
      <c r="P150" s="591">
        <f t="shared" si="144"/>
        <v>0</v>
      </c>
      <c r="Q150" s="591">
        <f t="shared" si="145"/>
        <v>0</v>
      </c>
      <c r="R150" s="591">
        <f t="shared" si="146"/>
        <v>0</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v>
      </c>
      <c r="AF150" s="591">
        <f t="shared" si="150"/>
        <v>0</v>
      </c>
      <c r="AU150" s="359" t="s">
        <v>895</v>
      </c>
      <c r="AV150" s="99"/>
      <c r="AW150" s="99"/>
      <c r="AX150" s="99"/>
      <c r="AY150" s="99"/>
      <c r="AZ150" s="99"/>
      <c r="BA150" s="99"/>
      <c r="BB150" s="99"/>
      <c r="BC150" s="99"/>
      <c r="BD150" s="99"/>
      <c r="BE150" s="99"/>
      <c r="BF150" s="99"/>
      <c r="BG150" s="121"/>
    </row>
    <row r="151" spans="1:59" ht="31.5" x14ac:dyDescent="0.25">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0.31</v>
      </c>
      <c r="AX153" s="493">
        <f>VLOOKUP($AU153,AllHabsSummaryData,10,FALSE)</f>
        <v>0</v>
      </c>
      <c r="AY153" s="493">
        <f>VLOOKUP($AU153,AllHabsSummaryData,15,FALSE)</f>
        <v>0.22</v>
      </c>
      <c r="AZ153" s="493">
        <f>VLOOKUP($AU153,AllHabsSummaryData,16,FALSE)</f>
        <v>0</v>
      </c>
      <c r="BA153" s="493">
        <f>VLOOKUP($AU153,AllHabsSummaryData,17,FALSE)</f>
        <v>-0.09</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0.39</v>
      </c>
      <c r="AX154" s="493">
        <f>VLOOKUP($AU154,AllHabsSummaryData,10,FALSE)</f>
        <v>0</v>
      </c>
      <c r="AY154" s="493">
        <f>VLOOKUP($AU154,AllHabsSummaryData,15,FALSE)</f>
        <v>0.56000000000000005</v>
      </c>
      <c r="AZ154" s="493">
        <f>VLOOKUP($AU154,AllHabsSummaryData,16,FALSE)</f>
        <v>0</v>
      </c>
      <c r="BA154" s="493">
        <f>VLOOKUP($AU154,AllHabsSummaryData,17,FALSE)</f>
        <v>0.17000000000000004</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v>
      </c>
      <c r="F158" s="493">
        <f>SUMIF('B-1 Site Hedge Baseline'!$D$10:$D$257,'G-2 Habitat groups'!A158,'B-1 Site Hedge Baseline'!$N$10:$N$257)</f>
        <v>0</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v>
      </c>
      <c r="R158" s="493">
        <f t="shared" si="146"/>
        <v>0</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v>
      </c>
      <c r="AF158" s="493">
        <f t="shared" si="150"/>
        <v>0</v>
      </c>
    </row>
    <row r="163" spans="1:32" ht="27.75" x14ac:dyDescent="0.4">
      <c r="A163" s="325" t="s">
        <v>136</v>
      </c>
    </row>
    <row r="166" spans="1:32" ht="23.25" x14ac:dyDescent="0.3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1.25"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25">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25">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25">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25">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5" zeroHeight="1" x14ac:dyDescent="0.25"/>
  <cols>
    <col min="1" max="1" width="76.42578125" style="31" customWidth="1"/>
    <col min="2" max="2" width="28.85546875" style="31" bestFit="1" customWidth="1"/>
    <col min="3" max="3" width="18.5703125" style="31" bestFit="1" customWidth="1"/>
    <col min="4" max="4" width="30.5703125" style="31" bestFit="1" customWidth="1"/>
    <col min="5" max="5" width="18.5703125" style="31" bestFit="1" customWidth="1"/>
    <col min="6" max="7" width="9.140625" style="31" customWidth="1"/>
    <col min="8" max="8" width="16.28515625" style="31" hidden="1" customWidth="1"/>
    <col min="9" max="9" width="32.85546875" style="31" hidden="1" customWidth="1"/>
    <col min="10" max="10" width="8.140625" style="31" hidden="1" customWidth="1"/>
    <col min="11" max="11" width="9.140625" style="31" customWidth="1"/>
    <col min="12" max="12" width="38.5703125" style="31" customWidth="1"/>
    <col min="13" max="13" width="26.28515625" style="31" customWidth="1"/>
    <col min="14" max="14" width="12" style="31" bestFit="1" customWidth="1"/>
    <col min="15" max="15" width="9.140625" style="31" customWidth="1"/>
    <col min="16" max="16" width="11.7109375" style="31" bestFit="1" customWidth="1"/>
    <col min="17" max="17" width="9.140625" style="31" customWidth="1"/>
    <col min="18" max="18" width="18.85546875" style="31" customWidth="1"/>
    <col min="19" max="19" width="40" style="31" customWidth="1"/>
    <col min="20" max="20" width="19.42578125" style="31" customWidth="1"/>
    <col min="21" max="21" width="9.140625" style="31" customWidth="1"/>
    <col min="22" max="22" width="11.28515625" style="31" customWidth="1"/>
    <col min="23" max="23" width="12" style="31" bestFit="1" customWidth="1"/>
    <col min="24" max="24" width="14.28515625" style="31" bestFit="1" customWidth="1"/>
    <col min="25" max="25" width="17.7109375" style="31" bestFit="1" customWidth="1"/>
    <col min="26" max="26" width="10.140625" style="31" bestFit="1" customWidth="1"/>
    <col min="27" max="28" width="9.140625" style="31" customWidth="1"/>
    <col min="29" max="34" width="0" style="31" hidden="1" customWidth="1"/>
    <col min="35" max="16384" width="9.140625" style="31" hidden="1"/>
  </cols>
  <sheetData>
    <row r="1" spans="1:26" ht="36.6" customHeight="1" thickBot="1" x14ac:dyDescent="0.4">
      <c r="A1" s="825" t="s">
        <v>898</v>
      </c>
      <c r="B1" s="826"/>
      <c r="C1" s="826"/>
      <c r="D1" s="826"/>
      <c r="E1" s="827"/>
      <c r="J1" s="285"/>
      <c r="L1" s="825" t="s">
        <v>899</v>
      </c>
      <c r="M1" s="826"/>
      <c r="N1" s="827"/>
      <c r="P1" s="825" t="s">
        <v>291</v>
      </c>
      <c r="Q1" s="827"/>
    </row>
    <row r="2" spans="1:26" ht="42" customHeight="1" thickBot="1" x14ac:dyDescent="0.4">
      <c r="A2" s="286" t="s">
        <v>820</v>
      </c>
      <c r="B2" s="200" t="s">
        <v>359</v>
      </c>
      <c r="C2" s="200" t="s">
        <v>323</v>
      </c>
      <c r="D2" s="200" t="s">
        <v>360</v>
      </c>
      <c r="E2" s="286" t="s">
        <v>323</v>
      </c>
      <c r="H2" s="1048" t="s">
        <v>900</v>
      </c>
      <c r="I2" s="1049"/>
      <c r="J2" s="1050"/>
      <c r="L2" s="1045" t="s">
        <v>901</v>
      </c>
      <c r="M2" s="1046"/>
      <c r="N2" s="1047"/>
      <c r="P2" s="286" t="s">
        <v>902</v>
      </c>
      <c r="Q2" s="286" t="s">
        <v>903</v>
      </c>
      <c r="S2" s="863" t="s">
        <v>904</v>
      </c>
      <c r="T2" s="876"/>
      <c r="W2" s="825" t="s">
        <v>905</v>
      </c>
      <c r="X2" s="826"/>
      <c r="Y2" s="826"/>
      <c r="Z2" s="827"/>
    </row>
    <row r="3" spans="1:26" x14ac:dyDescent="0.25">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5" x14ac:dyDescent="0.25">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30" x14ac:dyDescent="0.25">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45" x14ac:dyDescent="0.25">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 customHeight="1" x14ac:dyDescent="0.25">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 customHeight="1" x14ac:dyDescent="0.25">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 customHeight="1" x14ac:dyDescent="0.25">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25">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25">
      <c r="A11" s="110" t="str">
        <f>'G-1 All Habitats'!B9</f>
        <v>Cropland - Horticulture</v>
      </c>
      <c r="B11" s="543" t="str">
        <f>'G-1 All Habitats'!N9</f>
        <v>Low</v>
      </c>
      <c r="C11" s="543">
        <f>'G-1 All Habitats'!O9</f>
        <v>1</v>
      </c>
      <c r="D11" s="543" t="str">
        <f>'G-1 All Habitats'!P9</f>
        <v>Low</v>
      </c>
      <c r="E11" s="543">
        <f>'G-1 All Habitats'!Q9</f>
        <v>1</v>
      </c>
    </row>
    <row r="12" spans="1:26" x14ac:dyDescent="0.25">
      <c r="A12" s="110" t="str">
        <f>'G-1 All Habitats'!B10</f>
        <v>Cropland - Intensive orchards</v>
      </c>
      <c r="B12" s="543" t="str">
        <f>'G-1 All Habitats'!N10</f>
        <v>Low</v>
      </c>
      <c r="C12" s="543">
        <f>'G-1 All Habitats'!O10</f>
        <v>1</v>
      </c>
      <c r="D12" s="543" t="str">
        <f>'G-1 All Habitats'!P10</f>
        <v>Low</v>
      </c>
      <c r="E12" s="543">
        <f>'G-1 All Habitats'!Q10</f>
        <v>1</v>
      </c>
    </row>
    <row r="13" spans="1:26" x14ac:dyDescent="0.25">
      <c r="A13" s="110" t="str">
        <f>'G-1 All Habitats'!B11</f>
        <v>Cropland - Non-cereal crops</v>
      </c>
      <c r="B13" s="543" t="str">
        <f>'G-1 All Habitats'!N11</f>
        <v>Low</v>
      </c>
      <c r="C13" s="543">
        <f>'G-1 All Habitats'!O11</f>
        <v>1</v>
      </c>
      <c r="D13" s="543" t="str">
        <f>'G-1 All Habitats'!P11</f>
        <v>Low</v>
      </c>
      <c r="E13" s="543">
        <f>'G-1 All Habitats'!Q11</f>
        <v>1</v>
      </c>
    </row>
    <row r="14" spans="1:26" x14ac:dyDescent="0.25">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25">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25">
      <c r="A16" s="110" t="str">
        <f>'G-1 All Habitats'!B14</f>
        <v>Grassland - Bracken</v>
      </c>
      <c r="B16" s="543" t="str">
        <f>'G-1 All Habitats'!N14</f>
        <v>Low</v>
      </c>
      <c r="C16" s="543">
        <f>'G-1 All Habitats'!O14</f>
        <v>1</v>
      </c>
      <c r="D16" s="543" t="str">
        <f>'G-1 All Habitats'!P14</f>
        <v>Low</v>
      </c>
      <c r="E16" s="543">
        <f>'G-1 All Habitats'!Q14</f>
        <v>1</v>
      </c>
    </row>
    <row r="17" spans="1:5" x14ac:dyDescent="0.2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2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25">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25">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25">
      <c r="A21" s="110" t="str">
        <f>'G-1 All Habitats'!B19</f>
        <v>Grassland - Modified grassland</v>
      </c>
      <c r="B21" s="543" t="str">
        <f>'G-1 All Habitats'!N19</f>
        <v>Low</v>
      </c>
      <c r="C21" s="543">
        <f>'G-1 All Habitats'!O19</f>
        <v>1</v>
      </c>
      <c r="D21" s="543" t="str">
        <f>'G-1 All Habitats'!P19</f>
        <v>Low</v>
      </c>
      <c r="E21" s="543">
        <f>'G-1 All Habitats'!Q19</f>
        <v>1</v>
      </c>
    </row>
    <row r="22" spans="1:5" x14ac:dyDescent="0.25">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25">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25">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25">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25">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25">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25">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25">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25">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25">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25">
      <c r="A32" s="110" t="str">
        <f>'G-1 All Habitats'!B30</f>
        <v>Heathland and shrub - Hazel scrub</v>
      </c>
      <c r="B32" s="543" t="s">
        <v>23</v>
      </c>
      <c r="C32" s="543">
        <f>'G-1 All Habitats'!O30</f>
        <v>1</v>
      </c>
      <c r="D32" s="543" t="s">
        <v>23</v>
      </c>
      <c r="E32" s="543">
        <f>'G-1 All Habitats'!Q30</f>
        <v>1</v>
      </c>
    </row>
    <row r="33" spans="1:5" x14ac:dyDescent="0.2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25">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2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25">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2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2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2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2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2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2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2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2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2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2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2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2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2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2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2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2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25">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25">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25">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25">
      <c r="A56" s="110" t="str">
        <f>'G-1 All Habitats'!B42</f>
        <v>Lakes - Marl Lakes</v>
      </c>
      <c r="B56" s="543" t="str">
        <f>'G-1 All Habitats'!N42</f>
        <v>High</v>
      </c>
      <c r="C56" s="543">
        <f>'G-1 All Habitats'!O42</f>
        <v>0.33</v>
      </c>
      <c r="D56" s="543" t="str">
        <f>'G-1 All Habitats'!P42</f>
        <v>High</v>
      </c>
      <c r="E56" s="543">
        <f>'G-1 All Habitats'!Q42</f>
        <v>0.33</v>
      </c>
    </row>
    <row r="57" spans="1:5" x14ac:dyDescent="0.25">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25">
      <c r="A58" s="110" t="str">
        <f>'G-1 All Habitats'!B44</f>
        <v>Lakes - Peat Lakes</v>
      </c>
      <c r="B58" s="543" t="str">
        <f>'G-1 All Habitats'!N44</f>
        <v>High</v>
      </c>
      <c r="C58" s="543">
        <f>'G-1 All Habitats'!O44</f>
        <v>0.33</v>
      </c>
      <c r="D58" s="543" t="str">
        <f>'G-1 All Habitats'!P44</f>
        <v>High</v>
      </c>
      <c r="E58" s="543">
        <f>'G-1 All Habitats'!Q44</f>
        <v>0.33</v>
      </c>
    </row>
    <row r="59" spans="1:5" x14ac:dyDescent="0.25">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25">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25">
      <c r="A61" s="110" t="str">
        <f>'G-1 All Habitats'!B47</f>
        <v>Lakes - Reservoirs</v>
      </c>
      <c r="B61" s="543" t="str">
        <f>'G-1 All Habitats'!N47</f>
        <v>Medium</v>
      </c>
      <c r="C61" s="543">
        <f>'G-1 All Habitats'!O47</f>
        <v>0.67</v>
      </c>
      <c r="D61" s="543" t="str">
        <f>'G-1 All Habitats'!P47</f>
        <v>Medium</v>
      </c>
      <c r="E61" s="543">
        <f>'G-1 All Habitats'!Q47</f>
        <v>0.67</v>
      </c>
    </row>
    <row r="62" spans="1:5" x14ac:dyDescent="0.2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2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2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2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2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2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2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2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2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2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2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2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2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2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2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2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2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25">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25">
      <c r="A80" s="110" t="str">
        <f>'G-1 All Habitats'!B57</f>
        <v>Urban - Allotments</v>
      </c>
      <c r="B80" s="543" t="str">
        <f>'G-1 All Habitats'!N57</f>
        <v>Low</v>
      </c>
      <c r="C80" s="543">
        <f>'G-1 All Habitats'!O57</f>
        <v>1</v>
      </c>
      <c r="D80" s="543" t="str">
        <f>'G-1 All Habitats'!P57</f>
        <v>Low</v>
      </c>
      <c r="E80" s="543">
        <f>'G-1 All Habitats'!Q57</f>
        <v>1</v>
      </c>
    </row>
    <row r="81" spans="1:5" x14ac:dyDescent="0.2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25">
      <c r="A82" s="110" t="str">
        <f>'G-1 All Habitats'!B59</f>
        <v>Urban - Bioswale</v>
      </c>
      <c r="B82" s="543" t="str">
        <f>'G-1 All Habitats'!N59</f>
        <v>Medium</v>
      </c>
      <c r="C82" s="543">
        <f>'G-1 All Habitats'!O59</f>
        <v>0.67</v>
      </c>
      <c r="D82" s="543" t="str">
        <f>'G-1 All Habitats'!P59</f>
        <v>Low</v>
      </c>
      <c r="E82" s="543">
        <f>'G-1 All Habitats'!Q59</f>
        <v>1</v>
      </c>
    </row>
    <row r="83" spans="1:5" x14ac:dyDescent="0.25">
      <c r="A83" s="110" t="str">
        <f>'G-1 All Habitats'!B60</f>
        <v>Urban - Intensive green roof</v>
      </c>
      <c r="B83" s="543" t="str">
        <f>'G-1 All Habitats'!N60</f>
        <v>Low</v>
      </c>
      <c r="C83" s="543">
        <f>'G-1 All Habitats'!O60</f>
        <v>1</v>
      </c>
      <c r="D83" s="543" t="str">
        <f>'G-1 All Habitats'!P60</f>
        <v>Low</v>
      </c>
      <c r="E83" s="543">
        <f>'G-1 All Habitats'!Q60</f>
        <v>1</v>
      </c>
    </row>
    <row r="84" spans="1:5" x14ac:dyDescent="0.25">
      <c r="A84" s="110" t="str">
        <f>'G-1 All Habitats'!B61</f>
        <v>Urban - Built linear features</v>
      </c>
      <c r="B84" s="543" t="str">
        <f>'G-1 All Habitats'!N61</f>
        <v>Low</v>
      </c>
      <c r="C84" s="543">
        <f>'G-1 All Habitats'!O61</f>
        <v>1</v>
      </c>
      <c r="D84" s="543" t="str">
        <f>'G-1 All Habitats'!P61</f>
        <v>Low</v>
      </c>
      <c r="E84" s="543">
        <f>'G-1 All Habitats'!Q61</f>
        <v>1</v>
      </c>
    </row>
    <row r="85" spans="1:5" x14ac:dyDescent="0.25">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25">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25">
      <c r="A87" s="110" t="str">
        <f>'G-1 All Habitats'!B64</f>
        <v>Urban - Other green roof</v>
      </c>
      <c r="B87" s="543" t="str">
        <f>'G-1 All Habitats'!N64</f>
        <v>Low</v>
      </c>
      <c r="C87" s="543">
        <f>'G-1 All Habitats'!O64</f>
        <v>1</v>
      </c>
      <c r="D87" s="543" t="str">
        <f>'G-1 All Habitats'!P64</f>
        <v>Low</v>
      </c>
      <c r="E87" s="543">
        <f>'G-1 All Habitats'!Q64</f>
        <v>1</v>
      </c>
    </row>
    <row r="88" spans="1:5" x14ac:dyDescent="0.25">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25">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25">
      <c r="A90" s="110" t="str">
        <f>'G-1 All Habitats'!B67</f>
        <v>Urban - Ground level planters</v>
      </c>
      <c r="B90" s="543" t="str">
        <f>'G-1 All Habitats'!N67</f>
        <v>Low</v>
      </c>
      <c r="C90" s="543">
        <f>'G-1 All Habitats'!O67</f>
        <v>1</v>
      </c>
      <c r="D90" s="543" t="str">
        <f>'G-1 All Habitats'!P67</f>
        <v>Low</v>
      </c>
      <c r="E90" s="543">
        <f>'G-1 All Habitats'!Q67</f>
        <v>1</v>
      </c>
    </row>
    <row r="91" spans="1:5" x14ac:dyDescent="0.25">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25">
      <c r="A92" s="110" t="str">
        <f>'G-1 All Habitats'!B69</f>
        <v>Urban - Introduced shrub</v>
      </c>
      <c r="B92" s="543" t="str">
        <f>'G-1 All Habitats'!N69</f>
        <v>Low</v>
      </c>
      <c r="C92" s="543">
        <f>'G-1 All Habitats'!O69</f>
        <v>1</v>
      </c>
      <c r="D92" s="543" t="str">
        <f>'G-1 All Habitats'!P69</f>
        <v>Low</v>
      </c>
      <c r="E92" s="543">
        <f>'G-1 All Habitats'!Q69</f>
        <v>1</v>
      </c>
    </row>
    <row r="93" spans="1:5" x14ac:dyDescent="0.2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25">
      <c r="A94" s="110" t="str">
        <f>'G-1 All Habitats'!B71</f>
        <v>Urban - Rain garden</v>
      </c>
      <c r="B94" s="543" t="str">
        <f>'G-1 All Habitats'!N71</f>
        <v>Low</v>
      </c>
      <c r="C94" s="543">
        <f>'G-1 All Habitats'!O71</f>
        <v>1</v>
      </c>
      <c r="D94" s="543" t="str">
        <f>'G-1 All Habitats'!P71</f>
        <v>Low</v>
      </c>
      <c r="E94" s="543">
        <f>'G-1 All Habitats'!Q71</f>
        <v>1</v>
      </c>
    </row>
    <row r="95" spans="1:5" x14ac:dyDescent="0.2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25">
      <c r="A96" s="110" t="str">
        <f>'G-1 All Habitats'!B73</f>
        <v>Urban - Urban Tree</v>
      </c>
      <c r="B96" s="543" t="str">
        <f>'G-1 All Habitats'!N73</f>
        <v>Low</v>
      </c>
      <c r="C96" s="543">
        <f>'G-1 All Habitats'!O73</f>
        <v>1</v>
      </c>
      <c r="D96" s="543" t="str">
        <f>'G-1 All Habitats'!P73</f>
        <v>Low</v>
      </c>
      <c r="E96" s="543">
        <f>'G-1 All Habitats'!Q73</f>
        <v>1</v>
      </c>
    </row>
    <row r="97" spans="1:5" x14ac:dyDescent="0.2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25">
      <c r="A98" s="110" t="str">
        <f>'G-1 All Habitats'!B75</f>
        <v>Urban - Un-vegetated garden</v>
      </c>
      <c r="B98" s="543" t="str">
        <f>'G-1 All Habitats'!N75</f>
        <v>Low</v>
      </c>
      <c r="C98" s="543">
        <f>'G-1 All Habitats'!O75</f>
        <v>1</v>
      </c>
      <c r="D98" s="543" t="str">
        <f>'G-1 All Habitats'!P75</f>
        <v>Low</v>
      </c>
      <c r="E98" s="543">
        <f>'G-1 All Habitats'!Q75</f>
        <v>1</v>
      </c>
    </row>
    <row r="99" spans="1:5" x14ac:dyDescent="0.25">
      <c r="A99" s="110" t="str">
        <f>'G-1 All Habitats'!B77</f>
        <v>Urban - Vegetated garden</v>
      </c>
      <c r="B99" s="543" t="str">
        <f>'G-1 All Habitats'!N77</f>
        <v>Low</v>
      </c>
      <c r="C99" s="543">
        <f>'G-1 All Habitats'!O77</f>
        <v>1</v>
      </c>
      <c r="D99" s="543" t="str">
        <f>'G-1 All Habitats'!P77</f>
        <v>Low</v>
      </c>
      <c r="E99" s="543">
        <f>'G-1 All Habitats'!Q77</f>
        <v>1</v>
      </c>
    </row>
    <row r="100" spans="1:5" x14ac:dyDescent="0.25">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2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25">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25">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2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2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25">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2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25">
      <c r="A108" s="110" t="str">
        <f>'G-1 All Habitats'!B86</f>
        <v>Woodland and forest - Felled</v>
      </c>
      <c r="B108" s="543" t="s">
        <v>153</v>
      </c>
      <c r="C108" s="543">
        <f>'G-1 All Habitats'!O86</f>
        <v>1</v>
      </c>
      <c r="D108" s="543" t="str">
        <f>'G-1 All Habitats'!P86</f>
        <v>Low</v>
      </c>
      <c r="E108" s="543">
        <f>'G-1 All Habitats'!Q86</f>
        <v>1</v>
      </c>
    </row>
    <row r="109" spans="1:5" x14ac:dyDescent="0.2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2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2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2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2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2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2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2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2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2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2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2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2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2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2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2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2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2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2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2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2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5" zeroHeight="1" x14ac:dyDescent="0.25"/>
  <cols>
    <col min="1" max="1" width="14.5703125" style="31" customWidth="1"/>
    <col min="2" max="2" width="16.5703125" style="31" customWidth="1"/>
    <col min="3" max="3" width="16.42578125" style="31" customWidth="1"/>
    <col min="4" max="4" width="3" style="31" customWidth="1"/>
    <col min="5" max="5" width="4.140625" style="31" customWidth="1"/>
    <col min="6" max="6" width="88.85546875" style="31" bestFit="1" customWidth="1"/>
    <col min="7" max="7" width="13.140625" style="31" bestFit="1" customWidth="1"/>
    <col min="8" max="8" width="18.5703125" style="31" bestFit="1" customWidth="1"/>
    <col min="9" max="9" width="16.85546875" style="31" bestFit="1" customWidth="1"/>
    <col min="10" max="10" width="17.7109375" style="31" bestFit="1" customWidth="1"/>
    <col min="11" max="11" width="13" style="31" bestFit="1" customWidth="1"/>
    <col min="12" max="12" width="23.5703125" style="31" bestFit="1" customWidth="1"/>
    <col min="13" max="13" width="18.5703125" style="31" bestFit="1" customWidth="1"/>
    <col min="14" max="14" width="9.140625" style="31" customWidth="1"/>
    <col min="15" max="16" width="12.140625" style="31" customWidth="1"/>
    <col min="17" max="17" width="12.85546875" style="31" customWidth="1"/>
    <col min="18" max="18" width="11.42578125" style="31" customWidth="1"/>
    <col min="19" max="33" width="9.140625" style="31" customWidth="1"/>
    <col min="34" max="34" width="8.140625" style="31" hidden="1" customWidth="1"/>
    <col min="35" max="16384" width="9.140625" style="31" hidden="1"/>
  </cols>
  <sheetData>
    <row r="1" spans="1:13" ht="55.15" customHeight="1" x14ac:dyDescent="0.4">
      <c r="A1" s="1052"/>
      <c r="B1" s="1052"/>
      <c r="C1" s="1052"/>
      <c r="F1" s="280"/>
      <c r="G1" s="280"/>
      <c r="H1" s="280"/>
      <c r="I1" s="280"/>
      <c r="J1" s="280"/>
      <c r="K1" s="280"/>
      <c r="L1" s="280"/>
      <c r="M1" s="280"/>
    </row>
    <row r="2" spans="1:13" ht="29.45" customHeight="1" x14ac:dyDescent="0.4">
      <c r="A2" s="1051" t="s">
        <v>929</v>
      </c>
      <c r="B2" s="1051"/>
      <c r="C2" s="1051"/>
      <c r="F2" s="281"/>
      <c r="G2" s="1053" t="s">
        <v>930</v>
      </c>
      <c r="H2" s="1053"/>
      <c r="I2" s="1053"/>
      <c r="J2" s="1053"/>
      <c r="K2" s="1053"/>
      <c r="L2" s="1053"/>
      <c r="M2" s="1054"/>
    </row>
    <row r="3" spans="1:13" ht="30" x14ac:dyDescent="0.25">
      <c r="A3" s="103" t="s">
        <v>931</v>
      </c>
      <c r="B3" s="103" t="s">
        <v>932</v>
      </c>
      <c r="C3" s="103" t="s">
        <v>933</v>
      </c>
      <c r="F3" s="282" t="s">
        <v>820</v>
      </c>
      <c r="G3" s="104" t="s">
        <v>21</v>
      </c>
      <c r="H3" s="104" t="s">
        <v>382</v>
      </c>
      <c r="I3" s="104" t="s">
        <v>20</v>
      </c>
      <c r="J3" s="104" t="s">
        <v>393</v>
      </c>
      <c r="K3" s="130" t="s">
        <v>242</v>
      </c>
      <c r="L3" s="130" t="s">
        <v>403</v>
      </c>
      <c r="M3" s="104" t="s">
        <v>407</v>
      </c>
    </row>
    <row r="4" spans="1:13" x14ac:dyDescent="0.25">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25">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25">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25">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25">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25">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25">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25">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25">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25">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25">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25">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25">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25">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25">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25">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25">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25">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25">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25">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25">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25">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25">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25">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25">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25">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25">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25">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25">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25">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25">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25">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25">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25">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25">
      <c r="A38" s="42"/>
      <c r="B38" s="42"/>
      <c r="C38" s="42"/>
      <c r="F38" s="88" t="str">
        <f>'G-1 All Habitats'!B37</f>
        <v>Heathland and shrub - Upland Heathland</v>
      </c>
      <c r="G38" s="543">
        <v>30</v>
      </c>
      <c r="H38" s="543">
        <v>25</v>
      </c>
      <c r="I38" s="543">
        <v>20</v>
      </c>
      <c r="J38" s="543">
        <v>15</v>
      </c>
      <c r="K38" s="543">
        <v>10</v>
      </c>
      <c r="L38" s="543" t="s">
        <v>934</v>
      </c>
      <c r="M38" s="543" t="s">
        <v>934</v>
      </c>
    </row>
    <row r="39" spans="1:13" ht="43.5" x14ac:dyDescent="0.25">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25">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25">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25">
      <c r="A42" s="543">
        <v>1</v>
      </c>
      <c r="B42" s="42"/>
      <c r="C42" s="42"/>
      <c r="F42" s="88" t="str">
        <f>'G-1 All Habitats'!B42</f>
        <v>Lakes - Marl Lakes</v>
      </c>
      <c r="G42" s="543">
        <v>30</v>
      </c>
      <c r="H42" s="543">
        <v>20</v>
      </c>
      <c r="I42" s="543">
        <v>10</v>
      </c>
      <c r="J42" s="543">
        <v>7</v>
      </c>
      <c r="K42" s="543">
        <v>5</v>
      </c>
      <c r="L42" s="543" t="s">
        <v>934</v>
      </c>
      <c r="M42" s="543" t="s">
        <v>934</v>
      </c>
    </row>
    <row r="43" spans="1:13" x14ac:dyDescent="0.25">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25">
      <c r="A44" s="543">
        <v>3</v>
      </c>
      <c r="B44" s="42"/>
      <c r="C44" s="42"/>
      <c r="F44" s="88" t="str">
        <f>'G-1 All Habitats'!B44</f>
        <v>Lakes - Peat Lakes</v>
      </c>
      <c r="G44" s="543">
        <v>30</v>
      </c>
      <c r="H44" s="543">
        <v>20</v>
      </c>
      <c r="I44" s="543">
        <v>10</v>
      </c>
      <c r="J44" s="543">
        <v>7</v>
      </c>
      <c r="K44" s="543">
        <v>5</v>
      </c>
      <c r="L44" s="543" t="s">
        <v>934</v>
      </c>
      <c r="M44" s="543" t="s">
        <v>934</v>
      </c>
    </row>
    <row r="45" spans="1:13" x14ac:dyDescent="0.25">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25">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25">
      <c r="A47" s="543">
        <v>6</v>
      </c>
      <c r="B47" s="42"/>
      <c r="C47" s="42"/>
      <c r="F47" s="88" t="str">
        <f>'G-1 All Habitats'!B47</f>
        <v>Lakes - Reservoirs</v>
      </c>
      <c r="G47" s="543">
        <v>10</v>
      </c>
      <c r="H47" s="543">
        <v>7</v>
      </c>
      <c r="I47" s="543">
        <v>5</v>
      </c>
      <c r="J47" s="543">
        <v>3</v>
      </c>
      <c r="K47" s="543">
        <v>1</v>
      </c>
      <c r="L47" s="543" t="s">
        <v>934</v>
      </c>
      <c r="M47" s="543" t="s">
        <v>934</v>
      </c>
    </row>
    <row r="48" spans="1:13" x14ac:dyDescent="0.25">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25">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25">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25">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25">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25">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25">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25">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25">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25">
      <c r="A57" s="543">
        <v>16</v>
      </c>
      <c r="B57" s="42"/>
      <c r="C57" s="42"/>
      <c r="F57" s="88" t="str">
        <f>'G-1 All Habitats'!B57</f>
        <v>Urban - Allotments</v>
      </c>
      <c r="G57" s="543">
        <v>1</v>
      </c>
      <c r="H57" s="543">
        <v>1</v>
      </c>
      <c r="I57" s="543">
        <v>1</v>
      </c>
      <c r="J57" s="543">
        <v>1</v>
      </c>
      <c r="K57" s="543">
        <v>1</v>
      </c>
      <c r="L57" s="543" t="s">
        <v>934</v>
      </c>
      <c r="M57" s="543" t="s">
        <v>934</v>
      </c>
    </row>
    <row r="58" spans="1:13" x14ac:dyDescent="0.25">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25">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25">
      <c r="A60" s="543">
        <v>19</v>
      </c>
      <c r="B60" s="42"/>
      <c r="C60" s="42"/>
      <c r="F60" s="88" t="str">
        <f>'G-1 All Habitats'!B59</f>
        <v>Urban - Bioswale</v>
      </c>
      <c r="G60" s="543">
        <v>3</v>
      </c>
      <c r="H60" s="543">
        <v>2</v>
      </c>
      <c r="I60" s="543">
        <v>1</v>
      </c>
      <c r="J60" s="543">
        <v>1</v>
      </c>
      <c r="K60" s="543">
        <v>1</v>
      </c>
      <c r="L60" s="543" t="s">
        <v>934</v>
      </c>
      <c r="M60" s="543" t="s">
        <v>934</v>
      </c>
    </row>
    <row r="61" spans="1:13" x14ac:dyDescent="0.25">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25">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25">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25">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25">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25">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25">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25">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25">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25">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25">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25">
      <c r="A72" s="543" t="s">
        <v>935</v>
      </c>
      <c r="B72" s="42"/>
      <c r="C72" s="42"/>
      <c r="F72" s="88" t="str">
        <f>'G-1 All Habitats'!B71</f>
        <v>Urban - Rain garden</v>
      </c>
      <c r="G72" s="543">
        <v>5</v>
      </c>
      <c r="H72" s="543">
        <v>4</v>
      </c>
      <c r="I72" s="543">
        <v>3</v>
      </c>
      <c r="J72" s="543">
        <v>2</v>
      </c>
      <c r="K72" s="543">
        <v>1</v>
      </c>
      <c r="L72" s="543" t="s">
        <v>934</v>
      </c>
      <c r="M72" s="543" t="s">
        <v>934</v>
      </c>
    </row>
    <row r="73" spans="1:13" x14ac:dyDescent="0.25">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25">
      <c r="A74" s="42"/>
      <c r="B74" s="42"/>
      <c r="C74" s="42"/>
      <c r="F74" s="88" t="str">
        <f>'G-1 All Habitats'!B73</f>
        <v>Urban - Urban Tree</v>
      </c>
      <c r="G74" s="543" t="s">
        <v>935</v>
      </c>
      <c r="H74" s="543" t="s">
        <v>935</v>
      </c>
      <c r="I74" s="543">
        <v>27</v>
      </c>
      <c r="J74" s="543">
        <v>15</v>
      </c>
      <c r="K74" s="543">
        <v>10</v>
      </c>
      <c r="L74" s="543" t="s">
        <v>934</v>
      </c>
      <c r="M74" s="543" t="s">
        <v>934</v>
      </c>
    </row>
    <row r="75" spans="1:13" x14ac:dyDescent="0.25">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25">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25">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25">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25">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25">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25">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25">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25">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25">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25">
      <c r="A85" s="42"/>
      <c r="B85" s="42"/>
      <c r="C85" s="42"/>
      <c r="F85" s="88" t="str">
        <f>'G-1 All Habitats'!B84</f>
        <v>Wetland - Reedbeds</v>
      </c>
      <c r="G85" s="543">
        <v>12</v>
      </c>
      <c r="H85" s="543">
        <v>10</v>
      </c>
      <c r="I85" s="543">
        <v>7</v>
      </c>
      <c r="J85" s="543">
        <v>5</v>
      </c>
      <c r="K85" s="543">
        <v>3</v>
      </c>
      <c r="L85" s="543" t="s">
        <v>934</v>
      </c>
      <c r="M85" s="543" t="s">
        <v>934</v>
      </c>
    </row>
    <row r="86" spans="1:13" x14ac:dyDescent="0.25">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25">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25">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25">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25">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25">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25">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25">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25">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25">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25">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25">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25">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25">
      <c r="F99" s="88" t="str">
        <f>'G-1 All Habitats'!B98</f>
        <v>Woodland and forest - Wood-pasture and parkland</v>
      </c>
      <c r="G99" s="543" t="s">
        <v>935</v>
      </c>
      <c r="H99" s="543" t="s">
        <v>935</v>
      </c>
      <c r="I99" s="543" t="s">
        <v>935</v>
      </c>
      <c r="J99" s="543">
        <v>25</v>
      </c>
      <c r="K99" s="543">
        <v>10</v>
      </c>
      <c r="L99" s="543" t="s">
        <v>934</v>
      </c>
      <c r="M99" s="543" t="s">
        <v>934</v>
      </c>
    </row>
    <row r="100" spans="1:13" x14ac:dyDescent="0.25">
      <c r="F100" s="88" t="str">
        <f>'G-1 All Habitats'!B99</f>
        <v>Coastal lagoons - Coastal lagoons</v>
      </c>
      <c r="G100" s="543">
        <v>10</v>
      </c>
      <c r="H100" s="543">
        <v>8</v>
      </c>
      <c r="I100" s="543">
        <v>5</v>
      </c>
      <c r="J100" s="543">
        <v>3</v>
      </c>
      <c r="K100" s="543">
        <v>1</v>
      </c>
      <c r="L100" s="543" t="s">
        <v>934</v>
      </c>
      <c r="M100" s="543" t="s">
        <v>934</v>
      </c>
    </row>
    <row r="101" spans="1:13" x14ac:dyDescent="0.25">
      <c r="F101" s="88" t="str">
        <f>'G-1 All Habitats'!B100</f>
        <v>Rocky shore - High energy littoral rock</v>
      </c>
      <c r="G101" s="543">
        <v>10</v>
      </c>
      <c r="H101" s="543">
        <v>7</v>
      </c>
      <c r="I101" s="543">
        <v>4</v>
      </c>
      <c r="J101" s="543">
        <v>2</v>
      </c>
      <c r="K101" s="543">
        <v>1</v>
      </c>
      <c r="L101" s="543" t="s">
        <v>934</v>
      </c>
      <c r="M101" s="543" t="s">
        <v>934</v>
      </c>
    </row>
    <row r="102" spans="1:13" x14ac:dyDescent="0.25">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25">
      <c r="F103" s="88" t="str">
        <f>'G-1 All Habitats'!B102</f>
        <v>Rocky shore - Moderate energy littoral rock</v>
      </c>
      <c r="G103" s="543">
        <v>13</v>
      </c>
      <c r="H103" s="543">
        <v>8</v>
      </c>
      <c r="I103" s="543">
        <v>4</v>
      </c>
      <c r="J103" s="543">
        <v>2</v>
      </c>
      <c r="K103" s="543">
        <v>1</v>
      </c>
      <c r="L103" s="543" t="s">
        <v>934</v>
      </c>
      <c r="M103" s="543" t="s">
        <v>934</v>
      </c>
    </row>
    <row r="104" spans="1:13" x14ac:dyDescent="0.25">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25">
      <c r="F105" s="88" t="str">
        <f>'G-1 All Habitats'!B104</f>
        <v>Rocky shore - Low energy littoral rock</v>
      </c>
      <c r="G105" s="543">
        <v>15</v>
      </c>
      <c r="H105" s="543">
        <v>10</v>
      </c>
      <c r="I105" s="543">
        <v>5</v>
      </c>
      <c r="J105" s="543">
        <v>1</v>
      </c>
      <c r="K105" s="543">
        <v>1</v>
      </c>
      <c r="L105" s="543" t="s">
        <v>934</v>
      </c>
      <c r="M105" s="543" t="s">
        <v>934</v>
      </c>
    </row>
    <row r="106" spans="1:13" x14ac:dyDescent="0.25">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25">
      <c r="F107" s="88" t="str">
        <f>'G-1 All Habitats'!B106</f>
        <v>Rocky shore - Features of littoral rock</v>
      </c>
      <c r="G107" s="543">
        <v>13</v>
      </c>
      <c r="H107" s="543">
        <v>8</v>
      </c>
      <c r="I107" s="543">
        <v>4</v>
      </c>
      <c r="J107" s="543">
        <v>2</v>
      </c>
      <c r="K107" s="543">
        <v>1</v>
      </c>
      <c r="L107" s="543" t="s">
        <v>934</v>
      </c>
      <c r="M107" s="543" t="s">
        <v>934</v>
      </c>
    </row>
    <row r="108" spans="1:13" x14ac:dyDescent="0.25">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25">
      <c r="F109" s="88" t="str">
        <f>'G-1 All Habitats'!B110</f>
        <v>Intertidal sediment - Littoral coarse sediment</v>
      </c>
      <c r="G109" s="543">
        <v>3</v>
      </c>
      <c r="H109" s="543">
        <v>2</v>
      </c>
      <c r="I109" s="543">
        <v>1</v>
      </c>
      <c r="J109" s="543">
        <v>1</v>
      </c>
      <c r="K109" s="543">
        <v>1</v>
      </c>
      <c r="L109" s="543" t="s">
        <v>934</v>
      </c>
      <c r="M109" s="543" t="s">
        <v>934</v>
      </c>
    </row>
    <row r="110" spans="1:13" x14ac:dyDescent="0.25">
      <c r="F110" s="88" t="str">
        <f>'G-1 All Habitats'!B111</f>
        <v>Intertidal sediment - Littoral mud</v>
      </c>
      <c r="G110" s="543">
        <v>6</v>
      </c>
      <c r="H110" s="543">
        <v>4</v>
      </c>
      <c r="I110" s="543">
        <v>3</v>
      </c>
      <c r="J110" s="543">
        <v>2</v>
      </c>
      <c r="K110" s="543">
        <v>1</v>
      </c>
      <c r="L110" s="543" t="s">
        <v>934</v>
      </c>
      <c r="M110" s="543" t="s">
        <v>934</v>
      </c>
    </row>
    <row r="111" spans="1:13" x14ac:dyDescent="0.25">
      <c r="F111" s="88" t="str">
        <f>'G-1 All Habitats'!B112</f>
        <v>Intertidal sediment - Littoral mixed sediments</v>
      </c>
      <c r="G111" s="543">
        <v>5</v>
      </c>
      <c r="H111" s="543">
        <v>4</v>
      </c>
      <c r="I111" s="543">
        <v>3</v>
      </c>
      <c r="J111" s="543">
        <v>2</v>
      </c>
      <c r="K111" s="543">
        <v>1</v>
      </c>
      <c r="L111" s="543" t="s">
        <v>934</v>
      </c>
      <c r="M111" s="543" t="s">
        <v>934</v>
      </c>
    </row>
    <row r="112" spans="1:13" x14ac:dyDescent="0.25">
      <c r="F112" s="88" t="str">
        <f>'G-1 All Habitats'!B108</f>
        <v>Coastal saltmarsh - Saltmarshes and saline reedbeds</v>
      </c>
      <c r="G112" s="543">
        <v>15</v>
      </c>
      <c r="H112" s="543">
        <v>10</v>
      </c>
      <c r="I112" s="543">
        <v>7</v>
      </c>
      <c r="J112" s="543">
        <v>3</v>
      </c>
      <c r="K112" s="543">
        <v>1</v>
      </c>
      <c r="L112" s="543" t="s">
        <v>934</v>
      </c>
      <c r="M112" s="543" t="s">
        <v>934</v>
      </c>
    </row>
    <row r="113" spans="6:13" x14ac:dyDescent="0.25">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25">
      <c r="F114" s="88" t="str">
        <f>'G-1 All Habitats'!B113</f>
        <v>Intertidal sediment - Littoral seagrass</v>
      </c>
      <c r="G114" s="543">
        <v>20</v>
      </c>
      <c r="H114" s="543">
        <v>15</v>
      </c>
      <c r="I114" s="543">
        <v>10</v>
      </c>
      <c r="J114" s="543">
        <v>5</v>
      </c>
      <c r="K114" s="543">
        <v>2</v>
      </c>
      <c r="L114" s="543" t="s">
        <v>934</v>
      </c>
      <c r="M114" s="543" t="s">
        <v>934</v>
      </c>
    </row>
    <row r="115" spans="6:13" x14ac:dyDescent="0.25">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25">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25">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25">
      <c r="F118" s="88" t="str">
        <f>'G-1 All Habitats'!B117</f>
        <v>Intertidal sediment - Features of littoral sediment</v>
      </c>
      <c r="G118" s="543">
        <v>10</v>
      </c>
      <c r="H118" s="543">
        <v>7</v>
      </c>
      <c r="I118" s="543">
        <v>5</v>
      </c>
      <c r="J118" s="543">
        <v>3</v>
      </c>
      <c r="K118" s="543">
        <v>3</v>
      </c>
      <c r="L118" s="543" t="s">
        <v>934</v>
      </c>
      <c r="M118" s="543" t="s">
        <v>934</v>
      </c>
    </row>
    <row r="119" spans="6:13" x14ac:dyDescent="0.25">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25">
      <c r="F120" s="88" t="str">
        <f>'G-1 All Habitats'!B119</f>
        <v>Intertidal sediment - Artificial littoral mud</v>
      </c>
      <c r="G120" s="543">
        <v>6</v>
      </c>
      <c r="H120" s="543">
        <v>4</v>
      </c>
      <c r="I120" s="543">
        <v>3</v>
      </c>
      <c r="J120" s="543">
        <v>2</v>
      </c>
      <c r="K120" s="543">
        <v>1</v>
      </c>
      <c r="L120" s="543" t="s">
        <v>934</v>
      </c>
      <c r="M120" s="543" t="s">
        <v>934</v>
      </c>
    </row>
    <row r="121" spans="6:13" x14ac:dyDescent="0.25">
      <c r="F121" s="88" t="str">
        <f>'G-1 All Habitats'!B120</f>
        <v>Intertidal sediment - Artificial littoral sand</v>
      </c>
      <c r="G121" s="543">
        <v>4</v>
      </c>
      <c r="H121" s="543">
        <v>2</v>
      </c>
      <c r="I121" s="543">
        <v>1</v>
      </c>
      <c r="J121" s="543">
        <v>1</v>
      </c>
      <c r="K121" s="543">
        <v>1</v>
      </c>
      <c r="L121" s="543" t="s">
        <v>934</v>
      </c>
      <c r="M121" s="543" t="s">
        <v>934</v>
      </c>
    </row>
    <row r="122" spans="6:13" x14ac:dyDescent="0.25">
      <c r="F122" s="88" t="str">
        <f>'G-1 All Habitats'!B121</f>
        <v>Intertidal sediment - Artificial littoral muddy sand</v>
      </c>
      <c r="G122" s="543">
        <v>5</v>
      </c>
      <c r="H122" s="543">
        <v>4</v>
      </c>
      <c r="I122" s="543">
        <v>3</v>
      </c>
      <c r="J122" s="543">
        <v>2</v>
      </c>
      <c r="K122" s="543">
        <v>1</v>
      </c>
      <c r="L122" s="543" t="s">
        <v>934</v>
      </c>
      <c r="M122" s="543" t="s">
        <v>934</v>
      </c>
    </row>
    <row r="123" spans="6:13" x14ac:dyDescent="0.25">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25">
      <c r="F124" s="88" t="str">
        <f>'G-1 All Habitats'!B123</f>
        <v>Intertidal sediment - Artificial littoral seagrass</v>
      </c>
      <c r="G124" s="543">
        <v>20</v>
      </c>
      <c r="H124" s="543">
        <v>15</v>
      </c>
      <c r="I124" s="543">
        <v>10</v>
      </c>
      <c r="J124" s="543">
        <v>5</v>
      </c>
      <c r="K124" s="543">
        <v>2</v>
      </c>
      <c r="L124" s="543" t="s">
        <v>934</v>
      </c>
      <c r="M124" s="543" t="s">
        <v>934</v>
      </c>
    </row>
    <row r="125" spans="6:13" x14ac:dyDescent="0.25">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25">
      <c r="F126" s="88" t="str">
        <f>'G-1 All Habitats'!B125</f>
        <v>Intertidal sediment - Littoral sand</v>
      </c>
      <c r="G126" s="543">
        <v>4</v>
      </c>
      <c r="H126" s="543">
        <v>2</v>
      </c>
      <c r="I126" s="543">
        <v>1</v>
      </c>
      <c r="J126" s="543">
        <v>1</v>
      </c>
      <c r="K126" s="543">
        <v>1</v>
      </c>
      <c r="L126" s="543" t="s">
        <v>934</v>
      </c>
      <c r="M126" s="543" t="s">
        <v>934</v>
      </c>
    </row>
    <row r="127" spans="6:13" x14ac:dyDescent="0.25">
      <c r="F127" s="88" t="str">
        <f>'G-1 All Habitats'!B126</f>
        <v>Intertidal sediment - Littoral muddy sand</v>
      </c>
      <c r="G127" s="543">
        <v>5</v>
      </c>
      <c r="H127" s="543">
        <v>4</v>
      </c>
      <c r="I127" s="543">
        <v>3</v>
      </c>
      <c r="J127" s="543">
        <v>2</v>
      </c>
      <c r="K127" s="543">
        <v>1</v>
      </c>
      <c r="L127" s="543" t="s">
        <v>934</v>
      </c>
      <c r="M127" s="543" t="s">
        <v>934</v>
      </c>
    </row>
    <row r="128" spans="6:13" x14ac:dyDescent="0.25">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25">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25">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5" zeroHeight="1" x14ac:dyDescent="0.25"/>
  <cols>
    <col min="1" max="1" width="3.5703125" style="31" customWidth="1"/>
    <col min="2" max="2" width="3.140625" style="31" customWidth="1"/>
    <col min="3" max="3" width="88.85546875" style="31" bestFit="1" customWidth="1"/>
    <col min="4" max="4" width="18" style="42" customWidth="1"/>
    <col min="5" max="5" width="21.5703125" style="42" customWidth="1"/>
    <col min="6" max="6" width="17.85546875" style="42" customWidth="1"/>
    <col min="7" max="7" width="18.7109375" style="42" customWidth="1"/>
    <col min="8" max="8" width="18.85546875" style="42" customWidth="1"/>
    <col min="9" max="9" width="17.7109375" style="42" customWidth="1"/>
    <col min="10" max="14" width="17.42578125" style="42" customWidth="1"/>
    <col min="15" max="15" width="14.42578125" style="42" bestFit="1" customWidth="1"/>
    <col min="16" max="16" width="12.7109375" style="42" bestFit="1" customWidth="1"/>
    <col min="17" max="21" width="14.42578125" style="42" bestFit="1" customWidth="1"/>
    <col min="22" max="22" width="14.28515625" style="42" bestFit="1" customWidth="1"/>
    <col min="23" max="23" width="13.140625" style="42" bestFit="1" customWidth="1"/>
    <col min="24" max="24" width="14.42578125" style="42" bestFit="1" customWidth="1"/>
    <col min="25" max="25" width="12.7109375" style="42" bestFit="1" customWidth="1"/>
    <col min="26" max="26" width="11.85546875" style="42" customWidth="1"/>
    <col min="27" max="30" width="11.85546875" style="31" customWidth="1"/>
    <col min="31" max="40" width="11.85546875" style="31" hidden="1" customWidth="1"/>
    <col min="41" max="16384" width="9.14062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5" x14ac:dyDescent="0.25">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5" customHeight="1" x14ac:dyDescent="0.25">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5" zeroHeight="1" x14ac:dyDescent="0.25"/>
  <cols>
    <col min="1" max="1" width="8.28515625" style="31" customWidth="1"/>
    <col min="2" max="2" width="66.42578125" style="31" bestFit="1" customWidth="1"/>
    <col min="3" max="3" width="17.28515625" style="31" customWidth="1"/>
    <col min="4" max="4" width="17.140625" style="31" customWidth="1"/>
    <col min="5" max="5" width="10.28515625" style="31" customWidth="1"/>
    <col min="6" max="6" width="9.5703125" style="31" hidden="1" customWidth="1"/>
    <col min="7" max="7" width="12.140625" style="31" customWidth="1"/>
    <col min="8" max="8" width="10" style="31" hidden="1" customWidth="1"/>
    <col min="9" max="9" width="10.28515625" style="31" customWidth="1"/>
    <col min="10" max="10" width="8.140625" style="31" hidden="1" customWidth="1"/>
    <col min="11" max="11" width="12.140625" style="31" customWidth="1"/>
    <col min="12" max="12" width="7.85546875" style="31" hidden="1" customWidth="1"/>
    <col min="13" max="13" width="10.7109375" style="31" customWidth="1"/>
    <col min="14" max="14" width="10.5703125" style="31" hidden="1" customWidth="1"/>
    <col min="15" max="15" width="10.7109375" style="31" hidden="1" customWidth="1"/>
    <col min="16" max="16" width="4.140625" style="31" hidden="1" customWidth="1"/>
    <col min="17" max="17" width="12.5703125" style="190" customWidth="1"/>
    <col min="18" max="18" width="4.140625" style="31" hidden="1" customWidth="1"/>
    <col min="19" max="19" width="6.85546875" style="31" bestFit="1" customWidth="1"/>
    <col min="20" max="31" width="5.28515625" style="31" bestFit="1" customWidth="1"/>
    <col min="32" max="32" width="12.7109375" style="31" customWidth="1"/>
    <col min="33" max="33" width="15.7109375" style="31" customWidth="1"/>
    <col min="34" max="34" width="32.140625" style="31" customWidth="1"/>
    <col min="35" max="35" width="8.85546875" style="31" customWidth="1"/>
    <col min="36" max="37" width="14" style="31" customWidth="1"/>
    <col min="38" max="38" width="8.85546875" style="31" customWidth="1"/>
    <col min="39" max="39" width="66.42578125" style="31" bestFit="1" customWidth="1"/>
    <col min="40" max="40" width="14.5703125" style="31" bestFit="1" customWidth="1"/>
    <col min="41" max="52" width="16.85546875" style="31" bestFit="1" customWidth="1"/>
    <col min="53" max="56" width="8.85546875" style="31" customWidth="1"/>
    <col min="57" max="61" width="8.85546875" style="31" hidden="1" customWidth="1"/>
    <col min="62" max="62" width="12.42578125" style="175" hidden="1" customWidth="1"/>
    <col min="63" max="64" width="12" style="31" hidden="1" customWidth="1"/>
    <col min="65" max="75" width="0" style="31" hidden="1" customWidth="1"/>
    <col min="76" max="16384" width="8.85546875" style="31" hidden="1"/>
  </cols>
  <sheetData>
    <row r="1" spans="1:64" ht="66.75" customHeight="1" thickBot="1" x14ac:dyDescent="0.35">
      <c r="A1" s="1052"/>
      <c r="B1" s="1055"/>
      <c r="C1" s="1059" t="s">
        <v>189</v>
      </c>
      <c r="D1" s="1060"/>
      <c r="E1" s="1056" t="s">
        <v>962</v>
      </c>
      <c r="F1" s="1057"/>
      <c r="G1" s="1057"/>
      <c r="H1" s="1057"/>
      <c r="I1" s="1058"/>
      <c r="J1" s="1056" t="s">
        <v>963</v>
      </c>
      <c r="K1" s="1057"/>
      <c r="L1" s="1057"/>
      <c r="M1" s="1057"/>
      <c r="N1" s="1057"/>
      <c r="O1" s="1057"/>
      <c r="P1" s="1057"/>
      <c r="Q1" s="1057"/>
      <c r="R1" s="1058"/>
      <c r="S1" s="1056" t="s">
        <v>964</v>
      </c>
      <c r="T1" s="1057"/>
      <c r="U1" s="1057"/>
      <c r="V1" s="1057"/>
      <c r="W1" s="1057"/>
      <c r="X1" s="1057"/>
      <c r="Y1" s="1057"/>
      <c r="Z1" s="1057"/>
      <c r="AA1" s="1057"/>
      <c r="AB1" s="1057"/>
      <c r="AC1" s="1057"/>
      <c r="AD1" s="1057"/>
      <c r="AE1" s="1058"/>
      <c r="AF1" s="1059" t="s">
        <v>291</v>
      </c>
      <c r="AG1" s="1060"/>
      <c r="AH1" s="969" t="s">
        <v>965</v>
      </c>
      <c r="AJ1" s="1059" t="s">
        <v>966</v>
      </c>
      <c r="AK1" s="1060"/>
      <c r="AM1" s="174" t="s">
        <v>967</v>
      </c>
      <c r="AN1" s="1063" t="s">
        <v>968</v>
      </c>
      <c r="AO1" s="1063"/>
      <c r="AP1" s="1063"/>
      <c r="AQ1" s="1063"/>
      <c r="AR1" s="1063"/>
      <c r="AS1" s="1063"/>
      <c r="AT1" s="1063"/>
      <c r="AU1" s="1063"/>
      <c r="AV1" s="1063"/>
      <c r="AW1" s="1063"/>
      <c r="AX1" s="1063"/>
      <c r="AY1" s="1063"/>
      <c r="AZ1" s="1063"/>
      <c r="BK1" s="1061" t="s">
        <v>969</v>
      </c>
      <c r="BL1" s="1062"/>
    </row>
    <row r="2" spans="1:64" ht="182.25" customHeight="1" thickBot="1" x14ac:dyDescent="0.3">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5.75" thickBot="1" x14ac:dyDescent="0.3">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5.75" thickBot="1" x14ac:dyDescent="0.3">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15.75" thickBot="1" x14ac:dyDescent="0.3">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5.75" thickBot="1" x14ac:dyDescent="0.3">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5.75" thickBot="1" x14ac:dyDescent="0.3">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5.75" thickBot="1" x14ac:dyDescent="0.3">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5.75" thickBot="1" x14ac:dyDescent="0.3">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5.75" thickBot="1" x14ac:dyDescent="0.3">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5.75" thickBot="1" x14ac:dyDescent="0.3">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5" zeroHeight="1" x14ac:dyDescent="0.25"/>
  <cols>
    <col min="1" max="1" width="9.140625" style="31" customWidth="1"/>
    <col min="2" max="2" width="37.28515625" style="31" customWidth="1"/>
    <col min="3" max="4" width="17.7109375" style="31" customWidth="1"/>
    <col min="5" max="5" width="14.5703125" style="31" customWidth="1"/>
    <col min="6" max="6" width="15.7109375" style="31" customWidth="1"/>
    <col min="7" max="7" width="13.140625" style="31" customWidth="1"/>
    <col min="8" max="9" width="11.85546875" style="31" customWidth="1"/>
    <col min="10" max="10" width="13" style="31" customWidth="1"/>
    <col min="11" max="11" width="12.140625" style="31" customWidth="1"/>
    <col min="12" max="13" width="10.7109375" style="31" customWidth="1"/>
    <col min="14" max="14" width="14.140625" style="31" customWidth="1"/>
    <col min="15" max="15" width="8.5703125" style="31" customWidth="1"/>
    <col min="16" max="16" width="10.7109375" style="31" customWidth="1"/>
    <col min="17" max="17" width="19" style="31" customWidth="1"/>
    <col min="18" max="18" width="16" style="31" customWidth="1"/>
    <col min="19" max="19" width="14.42578125" style="31" customWidth="1"/>
    <col min="20" max="20" width="15.85546875" style="31" customWidth="1"/>
    <col min="21" max="22" width="15.7109375" style="31" customWidth="1"/>
    <col min="23" max="26" width="10.7109375" style="31" customWidth="1"/>
    <col min="27" max="27" width="18.85546875" style="31" bestFit="1" customWidth="1"/>
    <col min="28" max="28" width="13.42578125" style="31" customWidth="1"/>
    <col min="29" max="29" width="9.140625" style="31" customWidth="1"/>
    <col min="30" max="30" width="18" style="31" customWidth="1"/>
    <col min="31" max="31" width="9.5703125" style="31" bestFit="1" customWidth="1"/>
    <col min="32" max="32" width="9.140625" style="31" customWidth="1"/>
    <col min="33" max="33" width="59.85546875" style="31" customWidth="1"/>
    <col min="34" max="34" width="24.7109375" style="31" customWidth="1"/>
    <col min="35" max="35" width="18.85546875" style="31" customWidth="1"/>
    <col min="36" max="36" width="9.140625" style="31" customWidth="1"/>
    <col min="37" max="37" width="46.7109375" style="31" bestFit="1" customWidth="1"/>
    <col min="38" max="38" width="24.28515625" style="31" customWidth="1"/>
    <col min="39" max="39" width="13.7109375" style="31" customWidth="1"/>
    <col min="40" max="40" width="9.140625" style="31" customWidth="1"/>
    <col min="41" max="41" width="28.28515625" style="31" customWidth="1"/>
    <col min="42" max="42" width="13" style="31" customWidth="1"/>
    <col min="43" max="44" width="9.140625" style="31" customWidth="1"/>
    <col min="45" max="45" width="25.140625" style="31" bestFit="1" customWidth="1"/>
    <col min="46" max="46" width="20.42578125" style="31" bestFit="1" customWidth="1"/>
    <col min="47" max="47" width="31.28515625" style="31" customWidth="1"/>
    <col min="48" max="48" width="9.140625" style="31" customWidth="1"/>
    <col min="49" max="49" width="13" style="31" customWidth="1"/>
    <col min="50" max="50" width="9.140625" style="31" hidden="1" customWidth="1"/>
    <col min="51" max="51" width="23.7109375" style="31" hidden="1" customWidth="1"/>
    <col min="52" max="52" width="15.7109375" style="31" hidden="1" customWidth="1"/>
    <col min="53" max="53" width="9.140625" style="31" hidden="1" customWidth="1"/>
    <col min="54" max="55" width="10.85546875" style="31" hidden="1" customWidth="1"/>
    <col min="56" max="62" width="0" style="31" hidden="1" customWidth="1"/>
    <col min="63" max="16384" width="9.140625" style="31" hidden="1"/>
  </cols>
  <sheetData>
    <row r="1" spans="1:55" ht="15.75" thickBot="1" x14ac:dyDescent="0.3">
      <c r="A1" s="1052"/>
      <c r="B1" s="1052"/>
    </row>
    <row r="2" spans="1:55" ht="31.5" customHeight="1" thickBot="1" x14ac:dyDescent="0.35">
      <c r="A2" s="1052"/>
      <c r="B2" s="1052"/>
      <c r="C2" s="1066" t="s">
        <v>189</v>
      </c>
      <c r="D2" s="1067"/>
      <c r="E2" s="1056" t="s">
        <v>291</v>
      </c>
      <c r="F2" s="1057"/>
      <c r="G2" s="1057"/>
      <c r="H2" s="1056" t="s">
        <v>966</v>
      </c>
      <c r="I2" s="1057"/>
      <c r="J2" s="1057"/>
      <c r="K2" s="1057"/>
      <c r="L2" s="1058"/>
      <c r="N2" s="1068" t="s">
        <v>999</v>
      </c>
      <c r="O2" s="1069"/>
      <c r="Q2" s="1064" t="s">
        <v>1000</v>
      </c>
      <c r="R2" s="1065"/>
      <c r="T2" s="1005" t="s">
        <v>1001</v>
      </c>
      <c r="U2" s="1011"/>
      <c r="V2" s="1011"/>
      <c r="W2" s="1011"/>
      <c r="X2" s="1011"/>
      <c r="Y2" s="1073"/>
      <c r="AA2" s="1074" t="s">
        <v>1002</v>
      </c>
      <c r="AB2" s="1075"/>
      <c r="AC2" s="132"/>
      <c r="AD2" s="1074" t="s">
        <v>1002</v>
      </c>
      <c r="AE2" s="1075"/>
      <c r="AG2" s="1074" t="s">
        <v>1003</v>
      </c>
      <c r="AH2" s="1076"/>
      <c r="AI2" s="1075"/>
      <c r="AK2" s="1074" t="s">
        <v>1003</v>
      </c>
      <c r="AL2" s="1076"/>
      <c r="AM2" s="1075"/>
      <c r="AO2" s="832" t="s">
        <v>1003</v>
      </c>
      <c r="AP2" s="1070"/>
      <c r="AQ2" s="288"/>
      <c r="AS2" s="1033" t="s">
        <v>1004</v>
      </c>
      <c r="AT2" s="1071"/>
      <c r="AU2" s="1072"/>
      <c r="AY2" s="289"/>
      <c r="AZ2" s="290" t="s">
        <v>200</v>
      </c>
      <c r="BB2" s="289" t="s">
        <v>1005</v>
      </c>
      <c r="BC2" s="290" t="s">
        <v>1006</v>
      </c>
    </row>
    <row r="3" spans="1:55" ht="45.75" thickBot="1" x14ac:dyDescent="0.3">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5" t="s">
        <v>1007</v>
      </c>
      <c r="V3" s="1011"/>
      <c r="W3" s="1011"/>
      <c r="X3" s="1011"/>
      <c r="Y3" s="1073"/>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9.25" thickBot="1" x14ac:dyDescent="0.3">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30" x14ac:dyDescent="0.25">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x14ac:dyDescent="0.25">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15.75" thickBot="1" x14ac:dyDescent="0.3">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x14ac:dyDescent="0.25">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x14ac:dyDescent="0.25">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25"/>
  <cols>
    <col min="1" max="1" width="88.85546875" style="31" bestFit="1" customWidth="1"/>
    <col min="2" max="2" width="12.7109375" style="31" bestFit="1" customWidth="1"/>
    <col min="3" max="3" width="17.140625" style="31" bestFit="1" customWidth="1"/>
    <col min="4" max="4" width="15.28515625" style="31" bestFit="1" customWidth="1"/>
    <col min="5" max="5" width="16.28515625" style="31" bestFit="1" customWidth="1"/>
    <col min="6" max="6" width="12.7109375" style="31" bestFit="1" customWidth="1"/>
    <col min="7" max="7" width="22" style="31" bestFit="1" customWidth="1"/>
    <col min="8" max="8" width="16.7109375" style="31" customWidth="1"/>
    <col min="9" max="9" width="15.7109375" style="31" hidden="1" customWidth="1"/>
    <col min="10" max="10" width="27" style="31" hidden="1" customWidth="1"/>
    <col min="11" max="11" width="11.28515625" style="31" hidden="1" customWidth="1"/>
    <col min="12" max="12" width="6.5703125" style="31" hidden="1" customWidth="1"/>
    <col min="13" max="13" width="11" style="31" hidden="1" customWidth="1"/>
    <col min="14" max="14" width="14.140625" style="31" hidden="1" customWidth="1"/>
    <col min="15" max="15" width="15.140625" style="31" customWidth="1"/>
    <col min="16" max="17" width="9.140625" style="31" customWidth="1"/>
    <col min="18" max="16384" width="9.140625" style="31" hidden="1"/>
  </cols>
  <sheetData>
    <row r="1" spans="1:14" ht="28.9" customHeight="1" x14ac:dyDescent="0.4">
      <c r="A1" s="1079"/>
      <c r="B1" s="280"/>
      <c r="C1" s="280"/>
      <c r="D1" s="280"/>
      <c r="E1" s="280"/>
      <c r="F1" s="280"/>
      <c r="G1" s="280"/>
      <c r="H1" s="305"/>
    </row>
    <row r="2" spans="1:14" ht="29.45" customHeight="1" x14ac:dyDescent="0.4">
      <c r="A2" s="1080"/>
      <c r="B2" s="1077" t="s">
        <v>966</v>
      </c>
      <c r="C2" s="1077"/>
      <c r="D2" s="1077"/>
      <c r="E2" s="1077"/>
      <c r="F2" s="1077"/>
      <c r="G2" s="1077"/>
      <c r="H2" s="1078"/>
    </row>
    <row r="3" spans="1:14" ht="30" x14ac:dyDescent="0.3">
      <c r="A3" s="282" t="s">
        <v>820</v>
      </c>
      <c r="B3" s="104" t="s">
        <v>21</v>
      </c>
      <c r="C3" s="104" t="s">
        <v>382</v>
      </c>
      <c r="D3" s="104" t="s">
        <v>20</v>
      </c>
      <c r="E3" s="104" t="s">
        <v>393</v>
      </c>
      <c r="F3" s="130" t="s">
        <v>242</v>
      </c>
      <c r="G3" s="130" t="s">
        <v>403</v>
      </c>
      <c r="H3" s="104" t="s">
        <v>407</v>
      </c>
      <c r="I3" s="31" t="s">
        <v>200</v>
      </c>
      <c r="J3" s="1081" t="s">
        <v>1039</v>
      </c>
      <c r="K3" s="1082"/>
      <c r="L3" s="1082"/>
      <c r="M3" s="1083"/>
    </row>
    <row r="4" spans="1:14" ht="15" x14ac:dyDescent="0.25">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5" x14ac:dyDescent="0.25">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5" x14ac:dyDescent="0.25">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5" x14ac:dyDescent="0.25">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5" x14ac:dyDescent="0.25">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5" x14ac:dyDescent="0.25">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5" x14ac:dyDescent="0.25">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5" x14ac:dyDescent="0.25">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5" x14ac:dyDescent="0.25">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5" x14ac:dyDescent="0.25">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5" x14ac:dyDescent="0.25">
      <c r="A14" s="88" t="str">
        <f>'G-1 All Habitats'!B13</f>
        <v>Grassland - Traditional orchards</v>
      </c>
      <c r="B14" s="543">
        <v>3</v>
      </c>
      <c r="C14" s="543">
        <v>2.5</v>
      </c>
      <c r="D14" s="543">
        <v>2</v>
      </c>
      <c r="E14" s="543">
        <v>1.5</v>
      </c>
      <c r="F14" s="543">
        <v>1</v>
      </c>
      <c r="G14" s="543" t="s">
        <v>934</v>
      </c>
      <c r="H14" s="543" t="s">
        <v>934</v>
      </c>
      <c r="I14" s="31" t="str">
        <f t="shared" si="1"/>
        <v>Cond4</v>
      </c>
    </row>
    <row r="15" spans="1:14" ht="15" x14ac:dyDescent="0.25">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5" x14ac:dyDescent="0.25">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5" x14ac:dyDescent="0.25">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5" x14ac:dyDescent="0.25">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5" x14ac:dyDescent="0.25">
      <c r="A19" s="88" t="str">
        <f>'G-1 All Habitats'!B18</f>
        <v>Grassland - Lowland meadows</v>
      </c>
      <c r="B19" s="543">
        <v>3</v>
      </c>
      <c r="C19" s="543">
        <v>2.5</v>
      </c>
      <c r="D19" s="543">
        <v>2</v>
      </c>
      <c r="E19" s="543">
        <v>1.5</v>
      </c>
      <c r="F19" s="543">
        <v>1</v>
      </c>
      <c r="G19" s="543" t="s">
        <v>934</v>
      </c>
      <c r="H19" s="543" t="s">
        <v>934</v>
      </c>
      <c r="I19" s="31" t="str">
        <f t="shared" si="1"/>
        <v>Cond4</v>
      </c>
    </row>
    <row r="20" spans="1:9" ht="15" x14ac:dyDescent="0.25">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25">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25">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25">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25">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25">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25">
      <c r="A26" s="88" t="str">
        <f>'G-1 All Habitats'!B25</f>
        <v>Grassland - Upland hay meadows</v>
      </c>
      <c r="B26" s="543">
        <v>3</v>
      </c>
      <c r="C26" s="543">
        <v>2.5</v>
      </c>
      <c r="D26" s="543">
        <v>2</v>
      </c>
      <c r="E26" s="543">
        <v>1.5</v>
      </c>
      <c r="F26" s="543">
        <v>1</v>
      </c>
      <c r="G26" s="543" t="s">
        <v>934</v>
      </c>
      <c r="H26" s="543" t="s">
        <v>934</v>
      </c>
      <c r="I26" s="31" t="str">
        <f t="shared" si="1"/>
        <v>Cond4</v>
      </c>
    </row>
    <row r="27" spans="1:9" ht="15" x14ac:dyDescent="0.25">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5" x14ac:dyDescent="0.25">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5" x14ac:dyDescent="0.25">
      <c r="A29" s="88" t="str">
        <f>'G-1 All Habitats'!B28</f>
        <v>Heathland and shrub - Gorse scrub</v>
      </c>
      <c r="B29" s="543">
        <v>3</v>
      </c>
      <c r="C29" s="543">
        <v>2.5</v>
      </c>
      <c r="D29" s="543">
        <v>2</v>
      </c>
      <c r="E29" s="543">
        <v>1.5</v>
      </c>
      <c r="F29" s="543">
        <v>1</v>
      </c>
      <c r="G29" s="543" t="s">
        <v>934</v>
      </c>
      <c r="H29" s="543" t="s">
        <v>934</v>
      </c>
      <c r="I29" s="31" t="str">
        <f t="shared" si="1"/>
        <v>Cond4</v>
      </c>
    </row>
    <row r="30" spans="1:9" ht="15" x14ac:dyDescent="0.25">
      <c r="A30" s="88" t="str">
        <f>'G-1 All Habitats'!B29</f>
        <v>Heathland and shrub - Hawthorn scrub</v>
      </c>
      <c r="B30" s="543">
        <v>3</v>
      </c>
      <c r="C30" s="543">
        <v>2.5</v>
      </c>
      <c r="D30" s="543">
        <v>2</v>
      </c>
      <c r="E30" s="543">
        <v>1.5</v>
      </c>
      <c r="F30" s="543">
        <v>1</v>
      </c>
      <c r="G30" s="543" t="s">
        <v>934</v>
      </c>
      <c r="H30" s="543" t="s">
        <v>934</v>
      </c>
      <c r="I30" s="31" t="str">
        <f t="shared" si="1"/>
        <v>Cond4</v>
      </c>
    </row>
    <row r="31" spans="1:9" ht="15" x14ac:dyDescent="0.25">
      <c r="A31" s="88" t="str">
        <f>'G-1 All Habitats'!B30</f>
        <v>Heathland and shrub - Hazel scrub</v>
      </c>
      <c r="B31" s="543">
        <v>3</v>
      </c>
      <c r="C31" s="543">
        <v>2.5</v>
      </c>
      <c r="D31" s="543">
        <v>2</v>
      </c>
      <c r="E31" s="543">
        <v>1.5</v>
      </c>
      <c r="F31" s="543">
        <v>1</v>
      </c>
      <c r="G31" s="543" t="s">
        <v>934</v>
      </c>
      <c r="H31" s="543" t="s">
        <v>934</v>
      </c>
      <c r="I31" s="31" t="str">
        <f t="shared" si="1"/>
        <v>Cond4</v>
      </c>
    </row>
    <row r="32" spans="1:9" ht="15" x14ac:dyDescent="0.25">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5" x14ac:dyDescent="0.25">
      <c r="A33" s="88" t="str">
        <f>'G-1 All Habitats'!B32</f>
        <v>Heathland and shrub - Mixed scrub</v>
      </c>
      <c r="B33" s="543">
        <v>3</v>
      </c>
      <c r="C33" s="543">
        <v>2.5</v>
      </c>
      <c r="D33" s="543">
        <v>2</v>
      </c>
      <c r="E33" s="543">
        <v>1.5</v>
      </c>
      <c r="F33" s="543">
        <v>1</v>
      </c>
      <c r="G33" s="543" t="s">
        <v>934</v>
      </c>
      <c r="H33" s="543" t="s">
        <v>934</v>
      </c>
      <c r="I33" s="31" t="str">
        <f t="shared" si="1"/>
        <v>Cond4</v>
      </c>
    </row>
    <row r="34" spans="1:9" ht="15" x14ac:dyDescent="0.25">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5" x14ac:dyDescent="0.25">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5" x14ac:dyDescent="0.25">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5" x14ac:dyDescent="0.25">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5" x14ac:dyDescent="0.25">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5" x14ac:dyDescent="0.25">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5" x14ac:dyDescent="0.25">
      <c r="A40" s="88" t="str">
        <f>'G-1 All Habitats'!B40</f>
        <v>Lakes - High alkalinity lakes</v>
      </c>
      <c r="B40" s="543">
        <v>3</v>
      </c>
      <c r="C40" s="543">
        <v>2.5</v>
      </c>
      <c r="D40" s="543">
        <v>2</v>
      </c>
      <c r="E40" s="543">
        <v>1.5</v>
      </c>
      <c r="F40" s="543">
        <v>1</v>
      </c>
      <c r="G40" s="543" t="s">
        <v>934</v>
      </c>
      <c r="H40" s="543" t="s">
        <v>934</v>
      </c>
      <c r="I40" s="31" t="str">
        <f t="shared" si="1"/>
        <v>Cond4</v>
      </c>
    </row>
    <row r="41" spans="1:9" ht="15" x14ac:dyDescent="0.25">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5" x14ac:dyDescent="0.25">
      <c r="A42" s="88" t="str">
        <f>'G-1 All Habitats'!B42</f>
        <v>Lakes - Marl Lakes</v>
      </c>
      <c r="B42" s="543">
        <v>3</v>
      </c>
      <c r="C42" s="543">
        <v>2.5</v>
      </c>
      <c r="D42" s="543">
        <v>2</v>
      </c>
      <c r="E42" s="543">
        <v>1.5</v>
      </c>
      <c r="F42" s="543">
        <v>1</v>
      </c>
      <c r="G42" s="543" t="s">
        <v>934</v>
      </c>
      <c r="H42" s="543" t="s">
        <v>934</v>
      </c>
      <c r="I42" s="31" t="str">
        <f t="shared" si="2"/>
        <v>Cond4</v>
      </c>
    </row>
    <row r="43" spans="1:9" ht="15" x14ac:dyDescent="0.25">
      <c r="A43" s="88" t="str">
        <f>'G-1 All Habitats'!B43</f>
        <v>Lakes - Moderate alkalinity lakes</v>
      </c>
      <c r="B43" s="543">
        <v>3</v>
      </c>
      <c r="C43" s="543">
        <v>2.5</v>
      </c>
      <c r="D43" s="543">
        <v>2</v>
      </c>
      <c r="E43" s="543">
        <v>1.5</v>
      </c>
      <c r="F43" s="543">
        <v>1</v>
      </c>
      <c r="G43" s="543" t="s">
        <v>934</v>
      </c>
      <c r="H43" s="543" t="s">
        <v>934</v>
      </c>
      <c r="I43" s="31" t="str">
        <f t="shared" si="2"/>
        <v>Cond4</v>
      </c>
    </row>
    <row r="44" spans="1:9" ht="15" x14ac:dyDescent="0.25">
      <c r="A44" s="88" t="str">
        <f>'G-1 All Habitats'!B44</f>
        <v>Lakes - Peat Lakes</v>
      </c>
      <c r="B44" s="543">
        <v>3</v>
      </c>
      <c r="C44" s="543">
        <v>2.5</v>
      </c>
      <c r="D44" s="543">
        <v>2</v>
      </c>
      <c r="E44" s="543">
        <v>1.5</v>
      </c>
      <c r="F44" s="543">
        <v>1</v>
      </c>
      <c r="G44" s="543" t="s">
        <v>934</v>
      </c>
      <c r="H44" s="543" t="s">
        <v>934</v>
      </c>
      <c r="I44" s="31" t="str">
        <f t="shared" si="2"/>
        <v>Cond4</v>
      </c>
    </row>
    <row r="45" spans="1:9" ht="15" x14ac:dyDescent="0.25">
      <c r="A45" s="88" t="str">
        <f>'G-1 All Habitats'!B45</f>
        <v>Lakes - Ponds (Priority Habitat)</v>
      </c>
      <c r="B45" s="543">
        <v>3</v>
      </c>
      <c r="C45" s="543">
        <v>2.5</v>
      </c>
      <c r="D45" s="543">
        <v>2</v>
      </c>
      <c r="E45" s="543">
        <v>1.5</v>
      </c>
      <c r="F45" s="543">
        <v>1</v>
      </c>
      <c r="G45" s="543" t="s">
        <v>934</v>
      </c>
      <c r="H45" s="543" t="s">
        <v>934</v>
      </c>
      <c r="I45" s="31" t="str">
        <f t="shared" si="2"/>
        <v>Cond4</v>
      </c>
    </row>
    <row r="46" spans="1:9" ht="15" x14ac:dyDescent="0.25">
      <c r="A46" s="88" t="str">
        <f>'G-1 All Habitats'!B46</f>
        <v>Lakes - Ponds (Non- Priority Habitat)</v>
      </c>
      <c r="B46" s="543">
        <v>3</v>
      </c>
      <c r="C46" s="543">
        <v>2.5</v>
      </c>
      <c r="D46" s="543">
        <v>2</v>
      </c>
      <c r="E46" s="543">
        <v>1.5</v>
      </c>
      <c r="F46" s="543">
        <v>1</v>
      </c>
      <c r="G46" s="543" t="s">
        <v>934</v>
      </c>
      <c r="H46" s="543" t="s">
        <v>934</v>
      </c>
      <c r="I46" s="31" t="str">
        <f t="shared" si="2"/>
        <v>Cond4</v>
      </c>
    </row>
    <row r="47" spans="1:9" ht="15" x14ac:dyDescent="0.25">
      <c r="A47" s="88" t="str">
        <f>'G-1 All Habitats'!B47</f>
        <v>Lakes - Reservoirs</v>
      </c>
      <c r="B47" s="543">
        <v>3</v>
      </c>
      <c r="C47" s="543">
        <v>2.5</v>
      </c>
      <c r="D47" s="543">
        <v>2</v>
      </c>
      <c r="E47" s="543">
        <v>1.5</v>
      </c>
      <c r="F47" s="543">
        <v>1</v>
      </c>
      <c r="G47" s="543" t="s">
        <v>934</v>
      </c>
      <c r="H47" s="543" t="s">
        <v>934</v>
      </c>
      <c r="I47" s="31" t="str">
        <f t="shared" si="2"/>
        <v>Cond4</v>
      </c>
    </row>
    <row r="48" spans="1:9" ht="15" x14ac:dyDescent="0.25">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5" x14ac:dyDescent="0.25">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5" x14ac:dyDescent="0.25">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5" x14ac:dyDescent="0.25">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5" x14ac:dyDescent="0.25">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5" x14ac:dyDescent="0.25">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5" x14ac:dyDescent="0.25">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5" x14ac:dyDescent="0.25">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5" x14ac:dyDescent="0.25">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5" x14ac:dyDescent="0.25">
      <c r="A57" s="88" t="str">
        <f>'G-1 All Habitats'!B57</f>
        <v>Urban - Allotments</v>
      </c>
      <c r="B57" s="543">
        <v>3</v>
      </c>
      <c r="C57" s="543">
        <v>2.5</v>
      </c>
      <c r="D57" s="543">
        <v>2</v>
      </c>
      <c r="E57" s="543">
        <v>1.5</v>
      </c>
      <c r="F57" s="543">
        <v>1</v>
      </c>
      <c r="G57" s="543" t="s">
        <v>934</v>
      </c>
      <c r="H57" s="543" t="s">
        <v>934</v>
      </c>
      <c r="I57" s="31" t="str">
        <f t="shared" si="2"/>
        <v>Cond4</v>
      </c>
    </row>
    <row r="58" spans="1:9" ht="15" x14ac:dyDescent="0.25">
      <c r="A58" s="88" t="str">
        <f>'G-1 All Habitats'!B39</f>
        <v>Lakes - Ornamental lake or pond</v>
      </c>
      <c r="B58" s="543">
        <v>3</v>
      </c>
      <c r="C58" s="543">
        <v>2.5</v>
      </c>
      <c r="D58" s="543">
        <v>2</v>
      </c>
      <c r="E58" s="543">
        <v>1.5</v>
      </c>
      <c r="F58" s="543">
        <v>1</v>
      </c>
      <c r="G58" s="543" t="s">
        <v>934</v>
      </c>
      <c r="H58" s="543" t="s">
        <v>934</v>
      </c>
      <c r="I58" s="31" t="str">
        <f t="shared" si="2"/>
        <v>Cond4</v>
      </c>
    </row>
    <row r="59" spans="1:9" ht="15" x14ac:dyDescent="0.25">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5" x14ac:dyDescent="0.25">
      <c r="A60" s="88" t="str">
        <f>'G-1 All Habitats'!B59</f>
        <v>Urban - Bioswale</v>
      </c>
      <c r="B60" s="543">
        <v>3</v>
      </c>
      <c r="C60" s="543">
        <v>2.5</v>
      </c>
      <c r="D60" s="543">
        <v>2</v>
      </c>
      <c r="E60" s="543">
        <v>1.5</v>
      </c>
      <c r="F60" s="543">
        <v>1</v>
      </c>
      <c r="G60" s="543" t="s">
        <v>934</v>
      </c>
      <c r="H60" s="543" t="s">
        <v>934</v>
      </c>
      <c r="I60" s="31" t="str">
        <f t="shared" si="2"/>
        <v>Cond4</v>
      </c>
    </row>
    <row r="61" spans="1:9" ht="15" x14ac:dyDescent="0.25">
      <c r="A61" s="88" t="str">
        <f>'G-1 All Habitats'!B60</f>
        <v>Urban - Intensive green roof</v>
      </c>
      <c r="B61" s="543">
        <v>3</v>
      </c>
      <c r="C61" s="543">
        <v>2.5</v>
      </c>
      <c r="D61" s="543">
        <v>2</v>
      </c>
      <c r="E61" s="543">
        <v>1.5</v>
      </c>
      <c r="F61" s="543">
        <v>1</v>
      </c>
      <c r="G61" s="543" t="s">
        <v>934</v>
      </c>
      <c r="H61" s="543" t="s">
        <v>934</v>
      </c>
      <c r="I61" s="31" t="str">
        <f t="shared" si="2"/>
        <v>Cond4</v>
      </c>
    </row>
    <row r="62" spans="1:9" ht="15" x14ac:dyDescent="0.25">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5" x14ac:dyDescent="0.25">
      <c r="A63" s="88" t="str">
        <f>'G-1 All Habitats'!B62</f>
        <v>Urban - Cemeteries and churchyards</v>
      </c>
      <c r="B63" s="543">
        <v>3</v>
      </c>
      <c r="C63" s="543">
        <v>2.5</v>
      </c>
      <c r="D63" s="543">
        <v>2</v>
      </c>
      <c r="E63" s="543">
        <v>1.5</v>
      </c>
      <c r="F63" s="543">
        <v>1</v>
      </c>
      <c r="G63" s="543" t="s">
        <v>934</v>
      </c>
      <c r="H63" s="543" t="s">
        <v>934</v>
      </c>
      <c r="I63" s="31" t="str">
        <f t="shared" si="2"/>
        <v>Cond4</v>
      </c>
    </row>
    <row r="64" spans="1:9" ht="15" x14ac:dyDescent="0.25">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5" x14ac:dyDescent="0.25">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5" x14ac:dyDescent="0.25">
      <c r="A66" s="88" t="str">
        <f>'G-1 All Habitats'!B65</f>
        <v>Urban - Facade-bound green wall</v>
      </c>
      <c r="B66" s="543">
        <v>3</v>
      </c>
      <c r="C66" s="543">
        <v>2.5</v>
      </c>
      <c r="D66" s="543">
        <v>2</v>
      </c>
      <c r="E66" s="543">
        <v>1.5</v>
      </c>
      <c r="F66" s="543">
        <v>1</v>
      </c>
      <c r="G66" s="543" t="s">
        <v>934</v>
      </c>
      <c r="H66" s="543" t="s">
        <v>934</v>
      </c>
      <c r="I66" s="31" t="str">
        <f t="shared" si="2"/>
        <v>Cond4</v>
      </c>
    </row>
    <row r="67" spans="1:9" ht="15" x14ac:dyDescent="0.25">
      <c r="A67" s="88" t="str">
        <f>'G-1 All Habitats'!B66</f>
        <v>Urban - Ground based green wall</v>
      </c>
      <c r="B67" s="543">
        <v>3</v>
      </c>
      <c r="C67" s="543">
        <v>2.5</v>
      </c>
      <c r="D67" s="543">
        <v>2</v>
      </c>
      <c r="E67" s="543">
        <v>1.5</v>
      </c>
      <c r="F67" s="543">
        <v>1</v>
      </c>
      <c r="G67" s="543" t="s">
        <v>934</v>
      </c>
      <c r="H67" s="543" t="s">
        <v>934</v>
      </c>
      <c r="I67" s="31" t="str">
        <f t="shared" si="2"/>
        <v>Cond4</v>
      </c>
    </row>
    <row r="68" spans="1:9" ht="15" x14ac:dyDescent="0.25">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5" x14ac:dyDescent="0.25">
      <c r="A69" s="88" t="str">
        <f>'G-1 All Habitats'!B68</f>
        <v>Urban - Biodiverse green roof</v>
      </c>
      <c r="B69" s="543">
        <v>3</v>
      </c>
      <c r="C69" s="543">
        <v>2.5</v>
      </c>
      <c r="D69" s="543">
        <v>2</v>
      </c>
      <c r="E69" s="543">
        <v>1.5</v>
      </c>
      <c r="F69" s="543">
        <v>1</v>
      </c>
      <c r="G69" s="543" t="s">
        <v>934</v>
      </c>
      <c r="H69" s="543" t="s">
        <v>934</v>
      </c>
      <c r="I69" s="31" t="str">
        <f t="shared" si="2"/>
        <v>Cond4</v>
      </c>
    </row>
    <row r="70" spans="1:9" ht="15" x14ac:dyDescent="0.25">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5" x14ac:dyDescent="0.25">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5" x14ac:dyDescent="0.25">
      <c r="A72" s="88" t="str">
        <f>'G-1 All Habitats'!B71</f>
        <v>Urban - Rain garden</v>
      </c>
      <c r="B72" s="543">
        <v>3</v>
      </c>
      <c r="C72" s="543">
        <v>2.5</v>
      </c>
      <c r="D72" s="543">
        <v>2</v>
      </c>
      <c r="E72" s="543">
        <v>1.5</v>
      </c>
      <c r="F72" s="543">
        <v>1</v>
      </c>
      <c r="G72" s="543" t="s">
        <v>934</v>
      </c>
      <c r="H72" s="543" t="s">
        <v>934</v>
      </c>
      <c r="I72" s="31" t="str">
        <f t="shared" si="2"/>
        <v>Cond4</v>
      </c>
    </row>
    <row r="73" spans="1:9" ht="15" x14ac:dyDescent="0.25">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5" x14ac:dyDescent="0.25">
      <c r="A74" s="88" t="str">
        <f>'G-1 All Habitats'!B73</f>
        <v>Urban - Urban Tree</v>
      </c>
      <c r="B74" s="543">
        <v>3</v>
      </c>
      <c r="C74" s="543">
        <v>2.5</v>
      </c>
      <c r="D74" s="543">
        <v>2</v>
      </c>
      <c r="E74" s="543">
        <v>1.5</v>
      </c>
      <c r="F74" s="543">
        <v>1</v>
      </c>
      <c r="G74" s="543" t="s">
        <v>934</v>
      </c>
      <c r="H74" s="543" t="s">
        <v>934</v>
      </c>
      <c r="I74" s="31" t="str">
        <f t="shared" si="3"/>
        <v>Cond4</v>
      </c>
    </row>
    <row r="75" spans="1:9" ht="15" x14ac:dyDescent="0.25">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5" x14ac:dyDescent="0.25">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5" x14ac:dyDescent="0.25">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5" x14ac:dyDescent="0.25">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5" x14ac:dyDescent="0.25">
      <c r="A79" s="88" t="str">
        <f>'G-1 All Habitats'!B78</f>
        <v>Wetland - Blanket bog</v>
      </c>
      <c r="B79" s="543">
        <v>3</v>
      </c>
      <c r="C79" s="543">
        <v>2.5</v>
      </c>
      <c r="D79" s="543">
        <v>2</v>
      </c>
      <c r="E79" s="543">
        <v>1.5</v>
      </c>
      <c r="F79" s="543">
        <v>1</v>
      </c>
      <c r="G79" s="543" t="s">
        <v>934</v>
      </c>
      <c r="H79" s="543" t="s">
        <v>934</v>
      </c>
      <c r="I79" s="31" t="str">
        <f t="shared" si="3"/>
        <v>Cond4</v>
      </c>
    </row>
    <row r="80" spans="1:9" ht="15" x14ac:dyDescent="0.25">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5" x14ac:dyDescent="0.25">
      <c r="A81" s="88" t="str">
        <f>'G-1 All Habitats'!B80</f>
        <v>Wetland - Fens (upland and lowland)</v>
      </c>
      <c r="B81" s="543">
        <v>3</v>
      </c>
      <c r="C81" s="543">
        <v>2.5</v>
      </c>
      <c r="D81" s="543">
        <v>2</v>
      </c>
      <c r="E81" s="543">
        <v>1.5</v>
      </c>
      <c r="F81" s="543">
        <v>1</v>
      </c>
      <c r="G81" s="543" t="s">
        <v>934</v>
      </c>
      <c r="H81" s="543" t="s">
        <v>934</v>
      </c>
      <c r="I81" s="31" t="str">
        <f t="shared" si="3"/>
        <v>Cond4</v>
      </c>
    </row>
    <row r="82" spans="1:9" ht="15" x14ac:dyDescent="0.25">
      <c r="A82" s="88" t="str">
        <f>'G-1 All Habitats'!B81</f>
        <v>Wetland - Lowland raised bog</v>
      </c>
      <c r="B82" s="543">
        <v>3</v>
      </c>
      <c r="C82" s="543">
        <v>2.5</v>
      </c>
      <c r="D82" s="543">
        <v>2</v>
      </c>
      <c r="E82" s="543">
        <v>1.5</v>
      </c>
      <c r="F82" s="543">
        <v>1</v>
      </c>
      <c r="G82" s="543" t="s">
        <v>934</v>
      </c>
      <c r="H82" s="543" t="s">
        <v>934</v>
      </c>
      <c r="I82" s="31" t="str">
        <f t="shared" si="3"/>
        <v>Cond4</v>
      </c>
    </row>
    <row r="83" spans="1:9" ht="15" x14ac:dyDescent="0.25">
      <c r="A83" s="88" t="str">
        <f>'G-1 All Habitats'!B82</f>
        <v>Wetland - Oceanic Valley Mire[1] (D2.1)</v>
      </c>
      <c r="B83" s="543">
        <v>3</v>
      </c>
      <c r="C83" s="543">
        <v>2.5</v>
      </c>
      <c r="D83" s="543">
        <v>2</v>
      </c>
      <c r="E83" s="543">
        <v>1.5</v>
      </c>
      <c r="F83" s="543">
        <v>1</v>
      </c>
      <c r="G83" s="543" t="s">
        <v>934</v>
      </c>
      <c r="H83" s="543" t="s">
        <v>934</v>
      </c>
      <c r="I83" s="31" t="str">
        <f t="shared" si="3"/>
        <v>Cond4</v>
      </c>
    </row>
    <row r="84" spans="1:9" ht="15" x14ac:dyDescent="0.25">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5" x14ac:dyDescent="0.25">
      <c r="A85" s="88" t="str">
        <f>'G-1 All Habitats'!B84</f>
        <v>Wetland - Reedbeds</v>
      </c>
      <c r="B85" s="543">
        <v>3</v>
      </c>
      <c r="C85" s="543">
        <v>2.5</v>
      </c>
      <c r="D85" s="543">
        <v>2</v>
      </c>
      <c r="E85" s="543">
        <v>1.5</v>
      </c>
      <c r="F85" s="543">
        <v>1</v>
      </c>
      <c r="G85" s="543" t="s">
        <v>934</v>
      </c>
      <c r="H85" s="543" t="s">
        <v>934</v>
      </c>
      <c r="I85" s="31" t="str">
        <f t="shared" si="3"/>
        <v>Cond4</v>
      </c>
    </row>
    <row r="86" spans="1:9" ht="15" x14ac:dyDescent="0.25">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5" x14ac:dyDescent="0.25">
      <c r="A87" s="88" t="str">
        <f>'G-1 All Habitats'!B86</f>
        <v>Woodland and forest - Felled</v>
      </c>
      <c r="B87" s="543">
        <v>3</v>
      </c>
      <c r="C87" s="543" t="s">
        <v>934</v>
      </c>
      <c r="D87" s="543" t="s">
        <v>934</v>
      </c>
      <c r="E87" s="543" t="s">
        <v>934</v>
      </c>
      <c r="F87" s="543" t="s">
        <v>934</v>
      </c>
      <c r="G87" s="543" t="s">
        <v>934</v>
      </c>
      <c r="H87" s="543" t="s">
        <v>934</v>
      </c>
      <c r="I87" s="31" t="s">
        <v>1044</v>
      </c>
    </row>
    <row r="88" spans="1:9" ht="15" x14ac:dyDescent="0.25">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5" x14ac:dyDescent="0.25">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5" x14ac:dyDescent="0.25">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5" x14ac:dyDescent="0.25">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5" x14ac:dyDescent="0.25">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5" x14ac:dyDescent="0.25">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5" x14ac:dyDescent="0.25">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5" x14ac:dyDescent="0.25">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5" x14ac:dyDescent="0.25">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5" x14ac:dyDescent="0.25">
      <c r="A97" s="88" t="str">
        <f>'G-1 All Habitats'!B96</f>
        <v>Woodland and forest - Upland oakwood</v>
      </c>
      <c r="B97" s="543">
        <v>3</v>
      </c>
      <c r="C97" s="543">
        <v>2.5</v>
      </c>
      <c r="D97" s="543">
        <v>2</v>
      </c>
      <c r="E97" s="543">
        <v>1.5</v>
      </c>
      <c r="F97" s="543">
        <v>1</v>
      </c>
      <c r="G97" s="543" t="s">
        <v>934</v>
      </c>
      <c r="H97" s="543" t="s">
        <v>934</v>
      </c>
      <c r="I97" s="31" t="str">
        <f t="shared" si="4"/>
        <v>Cond4</v>
      </c>
    </row>
    <row r="98" spans="1:9" ht="15" x14ac:dyDescent="0.25">
      <c r="A98" s="88" t="str">
        <f>'G-1 All Habitats'!B97</f>
        <v>Woodland and forest - Wet woodland</v>
      </c>
      <c r="B98" s="543">
        <v>3</v>
      </c>
      <c r="C98" s="543">
        <v>2.5</v>
      </c>
      <c r="D98" s="543">
        <v>2</v>
      </c>
      <c r="E98" s="543">
        <v>1.5</v>
      </c>
      <c r="F98" s="543">
        <v>1</v>
      </c>
      <c r="G98" s="543" t="s">
        <v>934</v>
      </c>
      <c r="H98" s="543" t="s">
        <v>934</v>
      </c>
      <c r="I98" s="31" t="str">
        <f t="shared" si="4"/>
        <v>Cond4</v>
      </c>
    </row>
    <row r="99" spans="1:9" ht="15" x14ac:dyDescent="0.25">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5" x14ac:dyDescent="0.25">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5" x14ac:dyDescent="0.25">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5" x14ac:dyDescent="0.25">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5" x14ac:dyDescent="0.25">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5" x14ac:dyDescent="0.25">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5" x14ac:dyDescent="0.25">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5" x14ac:dyDescent="0.25">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5" x14ac:dyDescent="0.25">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5" x14ac:dyDescent="0.25">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5" x14ac:dyDescent="0.25">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5" x14ac:dyDescent="0.25">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5" x14ac:dyDescent="0.25">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5" x14ac:dyDescent="0.25">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5" x14ac:dyDescent="0.25">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5" x14ac:dyDescent="0.25">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5" x14ac:dyDescent="0.25">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5" x14ac:dyDescent="0.25">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5" x14ac:dyDescent="0.25">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5" x14ac:dyDescent="0.25">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5" x14ac:dyDescent="0.25">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5" x14ac:dyDescent="0.25">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5" x14ac:dyDescent="0.25">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5" x14ac:dyDescent="0.25">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5" x14ac:dyDescent="0.25">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5" x14ac:dyDescent="0.25">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5" x14ac:dyDescent="0.25">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5" x14ac:dyDescent="0.25">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5" x14ac:dyDescent="0.25">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5" x14ac:dyDescent="0.25">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5" x14ac:dyDescent="0.25">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5" x14ac:dyDescent="0.25">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5" x14ac:dyDescent="0.25"/>
    <row r="132" spans="1:9" ht="15" x14ac:dyDescent="0.25"/>
    <row r="133" spans="1:9" ht="14.45" customHeight="1" x14ac:dyDescent="0.25"/>
    <row r="134" spans="1:9" ht="14.45" customHeight="1" x14ac:dyDescent="0.25"/>
    <row r="135" spans="1:9" ht="14.45" customHeight="1" x14ac:dyDescent="0.25"/>
    <row r="136" spans="1:9" ht="14.45" customHeight="1" x14ac:dyDescent="0.25"/>
    <row r="137" spans="1:9" ht="14.45" customHeight="1" x14ac:dyDescent="0.25"/>
    <row r="138" spans="1:9" ht="14.45" customHeight="1" x14ac:dyDescent="0.25"/>
    <row r="139" spans="1:9" ht="14.45" customHeight="1" x14ac:dyDescent="0.25"/>
    <row r="140" spans="1:9" ht="14.45" customHeight="1" x14ac:dyDescent="0.25"/>
    <row r="141" spans="1:9" ht="14.45" customHeight="1" x14ac:dyDescent="0.25"/>
    <row r="142" spans="1:9" ht="14.45" customHeight="1" x14ac:dyDescent="0.25"/>
    <row r="143" spans="1:9" ht="14.45" customHeight="1" x14ac:dyDescent="0.25"/>
    <row r="144" spans="1:9" ht="14.45" customHeight="1" x14ac:dyDescent="0.25"/>
    <row r="145" ht="14.45" customHeight="1" x14ac:dyDescent="0.25"/>
    <row r="146" ht="14.45" customHeight="1" x14ac:dyDescent="0.25"/>
    <row r="147" ht="14.45"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5" zeroHeight="1" x14ac:dyDescent="0.25"/>
  <cols>
    <col min="1" max="1" width="9.140625" style="273" customWidth="1"/>
    <col min="2" max="2" width="44.28515625" style="273" customWidth="1"/>
    <col min="3" max="3" width="60.5703125" style="273" customWidth="1"/>
    <col min="4" max="4" width="22.42578125" style="273" customWidth="1"/>
    <col min="5" max="19" width="9.140625" style="273" customWidth="1"/>
    <col min="20" max="16384" width="9.140625" style="273" hidden="1"/>
  </cols>
  <sheetData>
    <row r="1" spans="2:4" ht="61.15" customHeight="1" x14ac:dyDescent="0.25"/>
    <row r="2" spans="2:4" ht="15.75" x14ac:dyDescent="0.25">
      <c r="B2" s="123" t="s">
        <v>1045</v>
      </c>
      <c r="C2" s="123" t="s">
        <v>1046</v>
      </c>
      <c r="D2" s="123" t="s">
        <v>1047</v>
      </c>
    </row>
    <row r="3" spans="2:4" x14ac:dyDescent="0.25">
      <c r="B3" s="648" t="s">
        <v>1048</v>
      </c>
      <c r="C3" s="543" t="s">
        <v>695</v>
      </c>
      <c r="D3" s="543" t="s">
        <v>23</v>
      </c>
    </row>
    <row r="4" spans="2:4" x14ac:dyDescent="0.25">
      <c r="B4" s="648" t="s">
        <v>1049</v>
      </c>
      <c r="C4" s="543" t="s">
        <v>692</v>
      </c>
      <c r="D4" s="543" t="s">
        <v>23</v>
      </c>
    </row>
    <row r="5" spans="2:4" x14ac:dyDescent="0.25">
      <c r="B5" s="648" t="s">
        <v>1050</v>
      </c>
      <c r="C5" s="543" t="s">
        <v>678</v>
      </c>
      <c r="D5" s="543" t="s">
        <v>153</v>
      </c>
    </row>
    <row r="6" spans="2:4" x14ac:dyDescent="0.25">
      <c r="B6" s="648" t="s">
        <v>1051</v>
      </c>
      <c r="C6" s="543" t="s">
        <v>692</v>
      </c>
      <c r="D6" s="543" t="s">
        <v>23</v>
      </c>
    </row>
    <row r="7" spans="2:4" x14ac:dyDescent="0.25">
      <c r="B7" s="648" t="s">
        <v>684</v>
      </c>
      <c r="C7" s="543" t="s">
        <v>686</v>
      </c>
      <c r="D7" s="543" t="s">
        <v>156</v>
      </c>
    </row>
    <row r="8" spans="2:4" x14ac:dyDescent="0.25">
      <c r="B8" s="648" t="s">
        <v>1052</v>
      </c>
      <c r="C8" s="543" t="s">
        <v>681</v>
      </c>
      <c r="D8" s="543" t="s">
        <v>153</v>
      </c>
    </row>
    <row r="9" spans="2:4" x14ac:dyDescent="0.25">
      <c r="B9" s="648" t="s">
        <v>1053</v>
      </c>
      <c r="C9" s="543" t="s">
        <v>686</v>
      </c>
      <c r="D9" s="543" t="s">
        <v>156</v>
      </c>
    </row>
    <row r="10" spans="2:4" x14ac:dyDescent="0.25">
      <c r="B10" s="648" t="s">
        <v>1054</v>
      </c>
      <c r="C10" s="543" t="s">
        <v>695</v>
      </c>
      <c r="D10" s="543" t="s">
        <v>23</v>
      </c>
    </row>
    <row r="11" spans="2:4" x14ac:dyDescent="0.25">
      <c r="B11" s="648" t="s">
        <v>1055</v>
      </c>
      <c r="C11" s="543" t="s">
        <v>678</v>
      </c>
      <c r="D11" s="543" t="s">
        <v>153</v>
      </c>
    </row>
    <row r="12" spans="2:4" x14ac:dyDescent="0.25">
      <c r="B12" s="648" t="s">
        <v>1056</v>
      </c>
      <c r="C12" s="543" t="s">
        <v>695</v>
      </c>
      <c r="D12" s="543" t="s">
        <v>23</v>
      </c>
    </row>
    <row r="13" spans="2:4" x14ac:dyDescent="0.25">
      <c r="B13" s="648" t="s">
        <v>1057</v>
      </c>
      <c r="C13" s="543" t="s">
        <v>496</v>
      </c>
      <c r="D13" s="543" t="s">
        <v>23</v>
      </c>
    </row>
    <row r="14" spans="2:4" x14ac:dyDescent="0.25">
      <c r="B14" s="648" t="s">
        <v>1058</v>
      </c>
      <c r="C14" s="543" t="s">
        <v>496</v>
      </c>
      <c r="D14" s="543" t="s">
        <v>23</v>
      </c>
    </row>
    <row r="15" spans="2:4" x14ac:dyDescent="0.25">
      <c r="B15" s="648" t="s">
        <v>1059</v>
      </c>
      <c r="C15" s="543" t="s">
        <v>496</v>
      </c>
      <c r="D15" s="543" t="s">
        <v>23</v>
      </c>
    </row>
    <row r="16" spans="2:4" x14ac:dyDescent="0.25">
      <c r="B16" s="648" t="s">
        <v>1060</v>
      </c>
      <c r="C16" s="543" t="s">
        <v>712</v>
      </c>
      <c r="D16" s="543" t="s">
        <v>153</v>
      </c>
    </row>
    <row r="17" spans="2:4" x14ac:dyDescent="0.25">
      <c r="B17" s="648" t="s">
        <v>1061</v>
      </c>
      <c r="C17" s="543" t="s">
        <v>712</v>
      </c>
      <c r="D17" s="543" t="s">
        <v>153</v>
      </c>
    </row>
    <row r="18" spans="2:4" x14ac:dyDescent="0.25">
      <c r="B18" s="648" t="s">
        <v>1062</v>
      </c>
      <c r="C18" s="543" t="s">
        <v>686</v>
      </c>
      <c r="D18" s="543" t="s">
        <v>23</v>
      </c>
    </row>
    <row r="19" spans="2:4" x14ac:dyDescent="0.25">
      <c r="B19" s="648" t="s">
        <v>1063</v>
      </c>
      <c r="C19" s="543" t="s">
        <v>712</v>
      </c>
      <c r="D19" s="543" t="s">
        <v>153</v>
      </c>
    </row>
    <row r="20" spans="2:4" x14ac:dyDescent="0.25">
      <c r="B20" s="648" t="s">
        <v>1064</v>
      </c>
      <c r="C20" s="543" t="s">
        <v>671</v>
      </c>
      <c r="D20" s="543" t="s">
        <v>153</v>
      </c>
    </row>
    <row r="21" spans="2:4" x14ac:dyDescent="0.25">
      <c r="B21" s="648" t="s">
        <v>1065</v>
      </c>
      <c r="C21" s="543" t="s">
        <v>671</v>
      </c>
      <c r="D21" s="543" t="s">
        <v>153</v>
      </c>
    </row>
    <row r="22" spans="2:4" x14ac:dyDescent="0.25">
      <c r="B22" s="648" t="s">
        <v>1066</v>
      </c>
      <c r="C22" s="543" t="s">
        <v>671</v>
      </c>
      <c r="D22" s="543" t="s">
        <v>153</v>
      </c>
    </row>
    <row r="23" spans="2:4" x14ac:dyDescent="0.25">
      <c r="B23" s="648" t="s">
        <v>1067</v>
      </c>
      <c r="C23" s="543" t="s">
        <v>671</v>
      </c>
      <c r="D23" s="543" t="s">
        <v>153</v>
      </c>
    </row>
    <row r="24" spans="2:4" x14ac:dyDescent="0.25">
      <c r="B24" s="648" t="s">
        <v>426</v>
      </c>
      <c r="C24" s="543" t="s">
        <v>453</v>
      </c>
      <c r="D24" s="543" t="s">
        <v>23</v>
      </c>
    </row>
    <row r="25" spans="2:4" x14ac:dyDescent="0.25">
      <c r="B25" s="648" t="s">
        <v>426</v>
      </c>
      <c r="C25" s="543" t="s">
        <v>464</v>
      </c>
      <c r="D25" s="543" t="s">
        <v>23</v>
      </c>
    </row>
    <row r="26" spans="2:4" x14ac:dyDescent="0.25">
      <c r="B26" s="648" t="s">
        <v>1068</v>
      </c>
      <c r="C26" s="543" t="s">
        <v>439</v>
      </c>
      <c r="D26" s="543" t="s">
        <v>375</v>
      </c>
    </row>
    <row r="27" spans="2:4" x14ac:dyDescent="0.25">
      <c r="B27" s="648" t="s">
        <v>1068</v>
      </c>
      <c r="C27" s="543" t="s">
        <v>470</v>
      </c>
      <c r="D27" s="543" t="s">
        <v>375</v>
      </c>
    </row>
    <row r="28" spans="2:4" x14ac:dyDescent="0.25">
      <c r="B28" s="648" t="s">
        <v>1069</v>
      </c>
      <c r="C28" s="543" t="s">
        <v>464</v>
      </c>
      <c r="D28" s="543" t="s">
        <v>23</v>
      </c>
    </row>
    <row r="29" spans="2:4" x14ac:dyDescent="0.25">
      <c r="B29" s="648" t="s">
        <v>1069</v>
      </c>
      <c r="C29" s="543" t="s">
        <v>453</v>
      </c>
      <c r="D29" s="543" t="s">
        <v>23</v>
      </c>
    </row>
    <row r="30" spans="2:4" x14ac:dyDescent="0.25">
      <c r="B30" s="648" t="s">
        <v>1070</v>
      </c>
      <c r="C30" s="543" t="s">
        <v>449</v>
      </c>
      <c r="D30" s="543" t="s">
        <v>156</v>
      </c>
    </row>
    <row r="31" spans="2:4" x14ac:dyDescent="0.25">
      <c r="B31" s="648" t="s">
        <v>447</v>
      </c>
      <c r="C31" s="543" t="s">
        <v>456</v>
      </c>
      <c r="D31" s="543" t="s">
        <v>23</v>
      </c>
    </row>
    <row r="32" spans="2:4" x14ac:dyDescent="0.25">
      <c r="B32" s="648" t="s">
        <v>1071</v>
      </c>
      <c r="C32" s="543" t="s">
        <v>444</v>
      </c>
      <c r="D32" s="543" t="s">
        <v>375</v>
      </c>
    </row>
    <row r="33" spans="2:4" x14ac:dyDescent="0.25">
      <c r="B33" s="649" t="s">
        <v>1072</v>
      </c>
      <c r="C33" s="570" t="s">
        <v>456</v>
      </c>
      <c r="D33" s="570" t="s">
        <v>23</v>
      </c>
    </row>
    <row r="34" spans="2:4" x14ac:dyDescent="0.25">
      <c r="B34" s="648" t="s">
        <v>1073</v>
      </c>
      <c r="C34" s="543" t="s">
        <v>449</v>
      </c>
      <c r="D34" s="543" t="s">
        <v>156</v>
      </c>
    </row>
    <row r="35" spans="2:4" x14ac:dyDescent="0.25">
      <c r="B35" s="648" t="s">
        <v>437</v>
      </c>
      <c r="C35" s="543" t="s">
        <v>467</v>
      </c>
      <c r="D35" s="543" t="s">
        <v>153</v>
      </c>
    </row>
    <row r="36" spans="2:4" x14ac:dyDescent="0.25">
      <c r="B36" s="648" t="s">
        <v>437</v>
      </c>
      <c r="C36" s="543" t="s">
        <v>434</v>
      </c>
      <c r="D36" s="543" t="s">
        <v>153</v>
      </c>
    </row>
    <row r="37" spans="2:4" x14ac:dyDescent="0.25">
      <c r="B37" s="648" t="s">
        <v>1074</v>
      </c>
      <c r="C37" s="543" t="s">
        <v>434</v>
      </c>
      <c r="D37" s="543" t="s">
        <v>153</v>
      </c>
    </row>
    <row r="38" spans="2:4" x14ac:dyDescent="0.25">
      <c r="B38" s="648" t="s">
        <v>1074</v>
      </c>
      <c r="C38" s="543" t="s">
        <v>467</v>
      </c>
      <c r="D38" s="543" t="s">
        <v>153</v>
      </c>
    </row>
    <row r="39" spans="2:4" x14ac:dyDescent="0.25">
      <c r="B39" s="648" t="s">
        <v>1075</v>
      </c>
      <c r="C39" s="543" t="s">
        <v>467</v>
      </c>
      <c r="D39" s="543" t="s">
        <v>153</v>
      </c>
    </row>
    <row r="40" spans="2:4" x14ac:dyDescent="0.25">
      <c r="B40" s="648" t="s">
        <v>1075</v>
      </c>
      <c r="C40" s="543" t="s">
        <v>434</v>
      </c>
      <c r="D40" s="543" t="s">
        <v>153</v>
      </c>
    </row>
    <row r="41" spans="2:4" x14ac:dyDescent="0.25">
      <c r="B41" s="648" t="s">
        <v>1076</v>
      </c>
      <c r="C41" s="543" t="s">
        <v>449</v>
      </c>
      <c r="D41" s="543" t="s">
        <v>156</v>
      </c>
    </row>
    <row r="42" spans="2:4" x14ac:dyDescent="0.25">
      <c r="B42" s="648" t="s">
        <v>1077</v>
      </c>
      <c r="C42" s="543" t="s">
        <v>449</v>
      </c>
      <c r="D42" s="543" t="s">
        <v>156</v>
      </c>
    </row>
    <row r="43" spans="2:4" x14ac:dyDescent="0.25">
      <c r="B43" s="648" t="s">
        <v>1078</v>
      </c>
      <c r="C43" s="543" t="s">
        <v>662</v>
      </c>
      <c r="D43" s="543" t="s">
        <v>375</v>
      </c>
    </row>
    <row r="44" spans="2:4" x14ac:dyDescent="0.25">
      <c r="B44" s="648" t="s">
        <v>1078</v>
      </c>
      <c r="C44" s="543" t="s">
        <v>456</v>
      </c>
      <c r="D44" s="543" t="s">
        <v>23</v>
      </c>
    </row>
    <row r="45" spans="2:4" x14ac:dyDescent="0.25">
      <c r="B45" s="648" t="s">
        <v>1078</v>
      </c>
      <c r="C45" s="543" t="s">
        <v>449</v>
      </c>
      <c r="D45" s="543" t="s">
        <v>156</v>
      </c>
    </row>
    <row r="46" spans="2:4" x14ac:dyDescent="0.25">
      <c r="B46" s="648" t="s">
        <v>1079</v>
      </c>
      <c r="C46" s="543" t="s">
        <v>449</v>
      </c>
      <c r="D46" s="543" t="s">
        <v>156</v>
      </c>
    </row>
    <row r="47" spans="2:4" x14ac:dyDescent="0.25">
      <c r="B47" s="648" t="s">
        <v>1080</v>
      </c>
      <c r="C47" s="543" t="s">
        <v>562</v>
      </c>
      <c r="D47" s="543" t="s">
        <v>153</v>
      </c>
    </row>
    <row r="48" spans="2:4" x14ac:dyDescent="0.25">
      <c r="B48" s="648" t="s">
        <v>1081</v>
      </c>
      <c r="C48" s="543" t="s">
        <v>558</v>
      </c>
      <c r="D48" s="543" t="s">
        <v>153</v>
      </c>
    </row>
    <row r="49" spans="2:4" x14ac:dyDescent="0.25">
      <c r="B49" s="648" t="s">
        <v>1082</v>
      </c>
      <c r="C49" s="543" t="s">
        <v>558</v>
      </c>
      <c r="D49" s="543" t="s">
        <v>153</v>
      </c>
    </row>
    <row r="50" spans="2:4" x14ac:dyDescent="0.25">
      <c r="B50" s="648" t="s">
        <v>1083</v>
      </c>
      <c r="C50" s="543" t="s">
        <v>558</v>
      </c>
      <c r="D50" s="543" t="s">
        <v>153</v>
      </c>
    </row>
    <row r="51" spans="2:4" x14ac:dyDescent="0.25">
      <c r="B51" s="648" t="s">
        <v>1084</v>
      </c>
      <c r="C51" s="543" t="s">
        <v>558</v>
      </c>
      <c r="D51" s="543" t="s">
        <v>153</v>
      </c>
    </row>
    <row r="52" spans="2:4" x14ac:dyDescent="0.25">
      <c r="B52" s="648" t="s">
        <v>1085</v>
      </c>
      <c r="C52" s="543" t="s">
        <v>558</v>
      </c>
      <c r="D52" s="543" t="s">
        <v>153</v>
      </c>
    </row>
    <row r="53" spans="2:4" x14ac:dyDescent="0.25">
      <c r="B53" s="648" t="s">
        <v>1086</v>
      </c>
      <c r="C53" s="543" t="s">
        <v>558</v>
      </c>
      <c r="D53" s="543" t="s">
        <v>153</v>
      </c>
    </row>
    <row r="54" spans="2:4" x14ac:dyDescent="0.25">
      <c r="B54" s="648" t="s">
        <v>1087</v>
      </c>
      <c r="C54" s="543" t="s">
        <v>577</v>
      </c>
      <c r="D54" s="543" t="s">
        <v>153</v>
      </c>
    </row>
    <row r="55" spans="2:4" x14ac:dyDescent="0.25">
      <c r="B55" s="648" t="s">
        <v>1088</v>
      </c>
      <c r="C55" s="543" t="s">
        <v>577</v>
      </c>
      <c r="D55" s="543" t="s">
        <v>153</v>
      </c>
    </row>
    <row r="56" spans="2:4" x14ac:dyDescent="0.25">
      <c r="B56" s="648" t="s">
        <v>1089</v>
      </c>
      <c r="C56" s="543" t="s">
        <v>577</v>
      </c>
      <c r="D56" s="543" t="s">
        <v>153</v>
      </c>
    </row>
    <row r="57" spans="2:4" x14ac:dyDescent="0.25">
      <c r="B57" s="648" t="s">
        <v>1090</v>
      </c>
      <c r="C57" s="543" t="s">
        <v>577</v>
      </c>
      <c r="D57" s="543" t="s">
        <v>153</v>
      </c>
    </row>
    <row r="58" spans="2:4" x14ac:dyDescent="0.25">
      <c r="B58" s="648" t="s">
        <v>1090</v>
      </c>
      <c r="C58" s="543" t="s">
        <v>1091</v>
      </c>
      <c r="D58" s="543" t="s">
        <v>153</v>
      </c>
    </row>
    <row r="59" spans="2:4" x14ac:dyDescent="0.25">
      <c r="B59" s="648" t="s">
        <v>1092</v>
      </c>
      <c r="C59" s="543" t="s">
        <v>577</v>
      </c>
      <c r="D59" s="543" t="s">
        <v>153</v>
      </c>
    </row>
    <row r="60" spans="2:4" x14ac:dyDescent="0.25">
      <c r="B60" s="648" t="s">
        <v>1092</v>
      </c>
      <c r="C60" s="543" t="s">
        <v>444</v>
      </c>
      <c r="D60" s="543" t="s">
        <v>375</v>
      </c>
    </row>
    <row r="61" spans="2:4" x14ac:dyDescent="0.25">
      <c r="B61" s="648" t="s">
        <v>1092</v>
      </c>
      <c r="C61" s="543" t="s">
        <v>439</v>
      </c>
      <c r="D61" s="543" t="s">
        <v>375</v>
      </c>
    </row>
    <row r="62" spans="2:4" x14ac:dyDescent="0.25">
      <c r="B62" s="648" t="s">
        <v>1092</v>
      </c>
      <c r="C62" s="543" t="s">
        <v>453</v>
      </c>
      <c r="D62" s="543" t="s">
        <v>23</v>
      </c>
    </row>
    <row r="63" spans="2:4" x14ac:dyDescent="0.25">
      <c r="B63" s="648" t="s">
        <v>1093</v>
      </c>
      <c r="C63" s="543" t="s">
        <v>577</v>
      </c>
      <c r="D63" s="543" t="s">
        <v>153</v>
      </c>
    </row>
    <row r="64" spans="2:4" x14ac:dyDescent="0.25">
      <c r="B64" s="648" t="s">
        <v>1093</v>
      </c>
      <c r="C64" s="573" t="s">
        <v>490</v>
      </c>
      <c r="D64" s="543" t="s">
        <v>153</v>
      </c>
    </row>
    <row r="65" spans="2:4" x14ac:dyDescent="0.25">
      <c r="B65" s="648" t="s">
        <v>1094</v>
      </c>
      <c r="C65" s="543" t="s">
        <v>1095</v>
      </c>
      <c r="D65" s="543" t="s">
        <v>375</v>
      </c>
    </row>
    <row r="66" spans="2:4" x14ac:dyDescent="0.25">
      <c r="B66" s="648" t="s">
        <v>1094</v>
      </c>
      <c r="C66" s="543" t="s">
        <v>1096</v>
      </c>
      <c r="D66" s="543" t="s">
        <v>23</v>
      </c>
    </row>
    <row r="67" spans="2:4" x14ac:dyDescent="0.25">
      <c r="B67" s="648" t="s">
        <v>1094</v>
      </c>
      <c r="C67" s="543" t="s">
        <v>526</v>
      </c>
      <c r="D67" s="543" t="s">
        <v>153</v>
      </c>
    </row>
    <row r="68" spans="2:4" x14ac:dyDescent="0.25">
      <c r="B68" s="648" t="s">
        <v>1094</v>
      </c>
      <c r="C68" s="543" t="s">
        <v>529</v>
      </c>
      <c r="D68" s="543" t="s">
        <v>153</v>
      </c>
    </row>
    <row r="69" spans="2:4" x14ac:dyDescent="0.25">
      <c r="B69" s="648" t="s">
        <v>1094</v>
      </c>
      <c r="C69" s="543" t="s">
        <v>532</v>
      </c>
      <c r="D69" s="543" t="s">
        <v>153</v>
      </c>
    </row>
    <row r="70" spans="2:4" x14ac:dyDescent="0.25">
      <c r="B70" s="648" t="s">
        <v>1094</v>
      </c>
      <c r="C70" s="543" t="s">
        <v>535</v>
      </c>
      <c r="D70" s="543" t="s">
        <v>153</v>
      </c>
    </row>
    <row r="71" spans="2:4" x14ac:dyDescent="0.25">
      <c r="B71" s="648" t="s">
        <v>1094</v>
      </c>
      <c r="C71" s="543" t="s">
        <v>538</v>
      </c>
      <c r="D71" s="543" t="s">
        <v>153</v>
      </c>
    </row>
    <row r="72" spans="2:4" x14ac:dyDescent="0.25">
      <c r="B72" s="648" t="s">
        <v>1094</v>
      </c>
      <c r="C72" s="543" t="s">
        <v>1097</v>
      </c>
      <c r="D72" s="543" t="s">
        <v>153</v>
      </c>
    </row>
    <row r="73" spans="2:4" x14ac:dyDescent="0.25">
      <c r="B73" s="648" t="s">
        <v>1094</v>
      </c>
      <c r="C73" s="543" t="s">
        <v>1098</v>
      </c>
      <c r="D73" s="543" t="s">
        <v>23</v>
      </c>
    </row>
    <row r="74" spans="2:4" x14ac:dyDescent="0.25">
      <c r="B74" s="648" t="s">
        <v>1094</v>
      </c>
      <c r="C74" s="543" t="s">
        <v>1099</v>
      </c>
      <c r="D74" s="543" t="s">
        <v>23</v>
      </c>
    </row>
    <row r="75" spans="2:4" x14ac:dyDescent="0.25">
      <c r="B75" s="648" t="s">
        <v>1094</v>
      </c>
      <c r="C75" s="543" t="s">
        <v>550</v>
      </c>
      <c r="D75" s="543" t="s">
        <v>153</v>
      </c>
    </row>
    <row r="76" spans="2:4" x14ac:dyDescent="0.25">
      <c r="B76" s="648" t="s">
        <v>1100</v>
      </c>
      <c r="C76" s="543" t="s">
        <v>490</v>
      </c>
      <c r="D76" s="543" t="s">
        <v>153</v>
      </c>
    </row>
    <row r="77" spans="2:4" x14ac:dyDescent="0.25">
      <c r="B77" s="648" t="s">
        <v>1100</v>
      </c>
      <c r="C77" s="543" t="s">
        <v>515</v>
      </c>
      <c r="D77" s="543" t="s">
        <v>153</v>
      </c>
    </row>
    <row r="78" spans="2:4" x14ac:dyDescent="0.25">
      <c r="B78" s="648" t="s">
        <v>1101</v>
      </c>
      <c r="C78" s="543" t="s">
        <v>490</v>
      </c>
      <c r="D78" s="543" t="s">
        <v>153</v>
      </c>
    </row>
    <row r="79" spans="2:4" x14ac:dyDescent="0.25">
      <c r="B79" s="648" t="s">
        <v>1101</v>
      </c>
      <c r="C79" s="543" t="s">
        <v>515</v>
      </c>
      <c r="D79" s="543" t="s">
        <v>153</v>
      </c>
    </row>
    <row r="80" spans="2:4" x14ac:dyDescent="0.25">
      <c r="B80" s="648" t="s">
        <v>1102</v>
      </c>
      <c r="C80" s="543" t="s">
        <v>490</v>
      </c>
      <c r="D80" s="543" t="s">
        <v>153</v>
      </c>
    </row>
    <row r="81" spans="2:4" x14ac:dyDescent="0.25">
      <c r="B81" s="648" t="s">
        <v>1102</v>
      </c>
      <c r="C81" s="543" t="s">
        <v>515</v>
      </c>
      <c r="D81" s="543" t="s">
        <v>153</v>
      </c>
    </row>
    <row r="82" spans="2:4" x14ac:dyDescent="0.25">
      <c r="B82" s="648" t="s">
        <v>1103</v>
      </c>
      <c r="C82" s="543" t="s">
        <v>490</v>
      </c>
      <c r="D82" s="543" t="s">
        <v>153</v>
      </c>
    </row>
    <row r="83" spans="2:4" x14ac:dyDescent="0.25">
      <c r="B83" s="648" t="s">
        <v>1103</v>
      </c>
      <c r="C83" s="543" t="s">
        <v>515</v>
      </c>
      <c r="D83" s="543" t="s">
        <v>153</v>
      </c>
    </row>
    <row r="84" spans="2:4" x14ac:dyDescent="0.25">
      <c r="B84" s="648" t="s">
        <v>1104</v>
      </c>
      <c r="C84" s="543" t="s">
        <v>490</v>
      </c>
      <c r="D84" s="543" t="s">
        <v>153</v>
      </c>
    </row>
    <row r="85" spans="2:4" x14ac:dyDescent="0.25">
      <c r="B85" s="648" t="s">
        <v>1104</v>
      </c>
      <c r="C85" s="543" t="s">
        <v>515</v>
      </c>
      <c r="D85" s="543" t="s">
        <v>153</v>
      </c>
    </row>
    <row r="86" spans="2:4" x14ac:dyDescent="0.25">
      <c r="B86" s="648" t="s">
        <v>1105</v>
      </c>
      <c r="C86" s="543" t="s">
        <v>500</v>
      </c>
      <c r="D86" s="543" t="s">
        <v>375</v>
      </c>
    </row>
    <row r="87" spans="2:4" x14ac:dyDescent="0.25">
      <c r="B87" s="648" t="s">
        <v>1106</v>
      </c>
      <c r="C87" s="543" t="s">
        <v>490</v>
      </c>
      <c r="D87" s="543" t="s">
        <v>153</v>
      </c>
    </row>
    <row r="88" spans="2:4" x14ac:dyDescent="0.25">
      <c r="B88" s="648" t="s">
        <v>1107</v>
      </c>
      <c r="C88" s="543" t="s">
        <v>490</v>
      </c>
      <c r="D88" s="543" t="s">
        <v>153</v>
      </c>
    </row>
    <row r="89" spans="2:4" x14ac:dyDescent="0.25">
      <c r="B89" s="648" t="s">
        <v>1106</v>
      </c>
      <c r="C89" s="543" t="s">
        <v>515</v>
      </c>
      <c r="D89" s="543" t="s">
        <v>153</v>
      </c>
    </row>
    <row r="90" spans="2:4" x14ac:dyDescent="0.25">
      <c r="B90" s="648" t="s">
        <v>1107</v>
      </c>
      <c r="C90" s="543" t="s">
        <v>515</v>
      </c>
      <c r="D90" s="543" t="s">
        <v>153</v>
      </c>
    </row>
    <row r="91" spans="2:4" x14ac:dyDescent="0.25">
      <c r="B91" s="648" t="s">
        <v>423</v>
      </c>
      <c r="C91" s="543" t="s">
        <v>424</v>
      </c>
      <c r="D91" s="543" t="s">
        <v>156</v>
      </c>
    </row>
    <row r="92" spans="2:4" x14ac:dyDescent="0.25">
      <c r="B92" s="648" t="s">
        <v>1108</v>
      </c>
      <c r="C92" s="543" t="s">
        <v>424</v>
      </c>
      <c r="D92" s="543" t="s">
        <v>156</v>
      </c>
    </row>
    <row r="93" spans="2:4" x14ac:dyDescent="0.25">
      <c r="B93" s="648" t="s">
        <v>1109</v>
      </c>
      <c r="C93" s="543" t="s">
        <v>424</v>
      </c>
      <c r="D93" s="543" t="s">
        <v>156</v>
      </c>
    </row>
    <row r="94" spans="2:4" x14ac:dyDescent="0.25">
      <c r="B94" s="648" t="s">
        <v>1110</v>
      </c>
      <c r="C94" s="573" t="s">
        <v>569</v>
      </c>
      <c r="D94" s="543" t="s">
        <v>153</v>
      </c>
    </row>
    <row r="95" spans="2:4" x14ac:dyDescent="0.25">
      <c r="B95" s="648" t="s">
        <v>1111</v>
      </c>
      <c r="C95" s="543" t="s">
        <v>424</v>
      </c>
      <c r="D95" s="543" t="s">
        <v>23</v>
      </c>
    </row>
    <row r="96" spans="2:4" x14ac:dyDescent="0.25">
      <c r="B96" s="648" t="s">
        <v>1112</v>
      </c>
      <c r="C96" s="573" t="s">
        <v>565</v>
      </c>
      <c r="D96" s="543" t="s">
        <v>156</v>
      </c>
    </row>
    <row r="97" spans="2:4" x14ac:dyDescent="0.25">
      <c r="B97" s="648" t="s">
        <v>1113</v>
      </c>
      <c r="C97" s="573" t="s">
        <v>565</v>
      </c>
      <c r="D97" s="543" t="s">
        <v>156</v>
      </c>
    </row>
    <row r="98" spans="2:4" x14ac:dyDescent="0.25">
      <c r="B98" s="648" t="s">
        <v>643</v>
      </c>
      <c r="C98" s="543" t="s">
        <v>655</v>
      </c>
      <c r="D98" s="543" t="s">
        <v>375</v>
      </c>
    </row>
    <row r="99" spans="2:4" x14ac:dyDescent="0.25">
      <c r="B99" s="648" t="s">
        <v>1114</v>
      </c>
      <c r="C99" s="543" t="s">
        <v>655</v>
      </c>
      <c r="D99" s="543" t="s">
        <v>375</v>
      </c>
    </row>
    <row r="100" spans="2:4" x14ac:dyDescent="0.25">
      <c r="B100" s="648" t="s">
        <v>640</v>
      </c>
      <c r="C100" s="543" t="s">
        <v>641</v>
      </c>
      <c r="D100" s="543" t="s">
        <v>375</v>
      </c>
    </row>
    <row r="101" spans="2:4" x14ac:dyDescent="0.25">
      <c r="B101" s="648" t="s">
        <v>1115</v>
      </c>
      <c r="C101" s="543" t="s">
        <v>655</v>
      </c>
      <c r="D101" s="543" t="s">
        <v>375</v>
      </c>
    </row>
    <row r="102" spans="2:4" x14ac:dyDescent="0.25">
      <c r="B102" s="648" t="s">
        <v>1116</v>
      </c>
      <c r="C102" s="650" t="s">
        <v>668</v>
      </c>
      <c r="D102" s="543" t="s">
        <v>375</v>
      </c>
    </row>
    <row r="103" spans="2:4" x14ac:dyDescent="0.25">
      <c r="B103" s="648" t="s">
        <v>1117</v>
      </c>
      <c r="C103" s="543" t="s">
        <v>641</v>
      </c>
      <c r="D103" s="543" t="s">
        <v>375</v>
      </c>
    </row>
    <row r="104" spans="2:4" x14ac:dyDescent="0.25">
      <c r="B104" s="648" t="s">
        <v>1117</v>
      </c>
      <c r="C104" s="543" t="s">
        <v>655</v>
      </c>
      <c r="D104" s="543" t="s">
        <v>375</v>
      </c>
    </row>
    <row r="105" spans="2:4" x14ac:dyDescent="0.25">
      <c r="B105" s="648" t="s">
        <v>1118</v>
      </c>
      <c r="C105" s="543" t="s">
        <v>649</v>
      </c>
      <c r="D105" s="543" t="s">
        <v>375</v>
      </c>
    </row>
    <row r="106" spans="2:4" x14ac:dyDescent="0.25">
      <c r="B106" s="648" t="s">
        <v>1119</v>
      </c>
      <c r="C106" s="543" t="s">
        <v>649</v>
      </c>
      <c r="D106" s="543" t="s">
        <v>375</v>
      </c>
    </row>
    <row r="107" spans="2:4" x14ac:dyDescent="0.25">
      <c r="B107" s="648" t="s">
        <v>1120</v>
      </c>
      <c r="C107" s="543" t="s">
        <v>649</v>
      </c>
      <c r="D107" s="543" t="s">
        <v>375</v>
      </c>
    </row>
    <row r="108" spans="2:4" x14ac:dyDescent="0.25">
      <c r="B108" s="648" t="s">
        <v>1121</v>
      </c>
      <c r="C108" s="543" t="s">
        <v>649</v>
      </c>
      <c r="D108" s="543" t="s">
        <v>375</v>
      </c>
    </row>
    <row r="109" spans="2:4" x14ac:dyDescent="0.25">
      <c r="B109" s="648" t="s">
        <v>1122</v>
      </c>
      <c r="C109" s="543" t="s">
        <v>649</v>
      </c>
      <c r="D109" s="543" t="s">
        <v>375</v>
      </c>
    </row>
    <row r="110" spans="2:4" x14ac:dyDescent="0.25">
      <c r="B110" s="648" t="s">
        <v>1123</v>
      </c>
      <c r="C110" s="543" t="s">
        <v>1124</v>
      </c>
      <c r="D110" s="543" t="s">
        <v>375</v>
      </c>
    </row>
    <row r="111" spans="2:4" x14ac:dyDescent="0.25">
      <c r="B111" s="648" t="s">
        <v>1125</v>
      </c>
      <c r="C111" s="543" t="s">
        <v>1124</v>
      </c>
      <c r="D111" s="543" t="s">
        <v>375</v>
      </c>
    </row>
    <row r="112" spans="2:4" x14ac:dyDescent="0.25">
      <c r="B112" s="648" t="s">
        <v>1126</v>
      </c>
      <c r="C112" s="543" t="s">
        <v>1124</v>
      </c>
      <c r="D112" s="543" t="s">
        <v>375</v>
      </c>
    </row>
    <row r="113" spans="2:4" x14ac:dyDescent="0.25">
      <c r="B113" s="648" t="s">
        <v>1127</v>
      </c>
      <c r="C113" s="543" t="s">
        <v>645</v>
      </c>
      <c r="D113" s="543" t="s">
        <v>375</v>
      </c>
    </row>
    <row r="114" spans="2:4" x14ac:dyDescent="0.25">
      <c r="B114" s="648" t="s">
        <v>1128</v>
      </c>
      <c r="C114" s="543" t="s">
        <v>649</v>
      </c>
      <c r="D114" s="543" t="s">
        <v>375</v>
      </c>
    </row>
    <row r="115" spans="2:4" x14ac:dyDescent="0.25">
      <c r="B115" s="648" t="s">
        <v>1129</v>
      </c>
      <c r="C115" s="543" t="s">
        <v>649</v>
      </c>
      <c r="D115" s="543" t="s">
        <v>375</v>
      </c>
    </row>
    <row r="116" spans="2:4" x14ac:dyDescent="0.25">
      <c r="B116" s="648" t="s">
        <v>1129</v>
      </c>
      <c r="C116" s="573" t="s">
        <v>665</v>
      </c>
      <c r="D116" s="570" t="s">
        <v>153</v>
      </c>
    </row>
    <row r="117" spans="2:4" x14ac:dyDescent="0.25">
      <c r="B117" s="648" t="s">
        <v>1130</v>
      </c>
      <c r="C117" s="543" t="s">
        <v>1131</v>
      </c>
      <c r="D117" s="585"/>
    </row>
    <row r="118" spans="2:4" x14ac:dyDescent="0.25">
      <c r="B118" s="648" t="s">
        <v>1132</v>
      </c>
      <c r="C118" s="573" t="s">
        <v>665</v>
      </c>
      <c r="D118" s="570" t="s">
        <v>153</v>
      </c>
    </row>
    <row r="119" spans="2:4" x14ac:dyDescent="0.25">
      <c r="B119" s="648" t="s">
        <v>1133</v>
      </c>
      <c r="C119" s="543" t="s">
        <v>569</v>
      </c>
      <c r="D119" s="543" t="s">
        <v>153</v>
      </c>
    </row>
    <row r="120" spans="2:4" x14ac:dyDescent="0.25">
      <c r="B120" s="648" t="s">
        <v>1134</v>
      </c>
      <c r="C120" s="573" t="s">
        <v>582</v>
      </c>
      <c r="D120" s="543" t="s">
        <v>23</v>
      </c>
    </row>
    <row r="121" spans="2:4" x14ac:dyDescent="0.25">
      <c r="B121" s="648" t="s">
        <v>1135</v>
      </c>
      <c r="C121" s="543" t="s">
        <v>569</v>
      </c>
      <c r="D121" s="543" t="s">
        <v>153</v>
      </c>
    </row>
    <row r="122" spans="2:4" x14ac:dyDescent="0.25">
      <c r="B122" s="648" t="s">
        <v>1136</v>
      </c>
      <c r="C122" s="573" t="s">
        <v>582</v>
      </c>
      <c r="D122" s="543" t="s">
        <v>23</v>
      </c>
    </row>
    <row r="123" spans="2:4" x14ac:dyDescent="0.25">
      <c r="B123" s="648" t="s">
        <v>1137</v>
      </c>
      <c r="C123" s="543" t="s">
        <v>569</v>
      </c>
      <c r="D123" s="543" t="s">
        <v>153</v>
      </c>
    </row>
    <row r="124" spans="2:4" x14ac:dyDescent="0.25">
      <c r="B124" s="648" t="s">
        <v>1138</v>
      </c>
      <c r="C124" s="543" t="s">
        <v>569</v>
      </c>
      <c r="D124" s="543" t="s">
        <v>153</v>
      </c>
    </row>
    <row r="125" spans="2:4" x14ac:dyDescent="0.25">
      <c r="B125" s="648" t="s">
        <v>1139</v>
      </c>
      <c r="C125" s="543" t="s">
        <v>569</v>
      </c>
      <c r="D125" s="543" t="s">
        <v>153</v>
      </c>
    </row>
    <row r="126" spans="2:4" x14ac:dyDescent="0.25">
      <c r="B126" s="648" t="s">
        <v>1140</v>
      </c>
      <c r="C126" s="543" t="s">
        <v>569</v>
      </c>
      <c r="D126" s="543" t="s">
        <v>153</v>
      </c>
    </row>
    <row r="127" spans="2:4" x14ac:dyDescent="0.25">
      <c r="B127" s="648" t="s">
        <v>1141</v>
      </c>
      <c r="C127" s="543" t="s">
        <v>569</v>
      </c>
      <c r="D127" s="543" t="s">
        <v>153</v>
      </c>
    </row>
    <row r="128" spans="2:4" x14ac:dyDescent="0.25">
      <c r="B128" s="648" t="s">
        <v>573</v>
      </c>
      <c r="C128" s="543" t="s">
        <v>574</v>
      </c>
      <c r="D128" s="543" t="s">
        <v>375</v>
      </c>
    </row>
    <row r="129" spans="2:4" x14ac:dyDescent="0.25">
      <c r="B129" s="648" t="s">
        <v>1142</v>
      </c>
      <c r="C129" s="543" t="s">
        <v>582</v>
      </c>
      <c r="D129" s="543" t="s">
        <v>23</v>
      </c>
    </row>
    <row r="130" spans="2:4" x14ac:dyDescent="0.25">
      <c r="B130" s="648" t="s">
        <v>1143</v>
      </c>
      <c r="C130" s="543" t="s">
        <v>582</v>
      </c>
      <c r="D130" s="543" t="s">
        <v>23</v>
      </c>
    </row>
    <row r="131" spans="2:4" x14ac:dyDescent="0.25">
      <c r="B131" s="648" t="s">
        <v>1144</v>
      </c>
      <c r="C131" s="543" t="s">
        <v>582</v>
      </c>
      <c r="D131" s="543" t="s">
        <v>23</v>
      </c>
    </row>
    <row r="132" spans="2:4" x14ac:dyDescent="0.25">
      <c r="B132" s="648" t="s">
        <v>1145</v>
      </c>
      <c r="C132" s="543" t="s">
        <v>582</v>
      </c>
      <c r="D132" s="543" t="s">
        <v>23</v>
      </c>
    </row>
    <row r="133" spans="2:4" x14ac:dyDescent="0.25">
      <c r="B133" s="648" t="s">
        <v>1145</v>
      </c>
      <c r="C133" s="543" t="s">
        <v>582</v>
      </c>
      <c r="D133" s="543" t="s">
        <v>23</v>
      </c>
    </row>
    <row r="134" spans="2:4" x14ac:dyDescent="0.25">
      <c r="B134" s="648" t="s">
        <v>1145</v>
      </c>
      <c r="C134" s="543" t="s">
        <v>582</v>
      </c>
      <c r="D134" s="543" t="s">
        <v>23</v>
      </c>
    </row>
    <row r="135" spans="2:4" x14ac:dyDescent="0.25">
      <c r="B135" s="648" t="s">
        <v>1145</v>
      </c>
      <c r="C135" s="543" t="s">
        <v>582</v>
      </c>
      <c r="D135" s="543" t="s">
        <v>23</v>
      </c>
    </row>
    <row r="136" spans="2:4" x14ac:dyDescent="0.25">
      <c r="B136" s="648" t="s">
        <v>1145</v>
      </c>
      <c r="C136" s="543" t="s">
        <v>582</v>
      </c>
      <c r="D136" s="543" t="s">
        <v>23</v>
      </c>
    </row>
    <row r="137" spans="2:4" x14ac:dyDescent="0.25">
      <c r="B137" s="648" t="s">
        <v>1145</v>
      </c>
      <c r="C137" s="543" t="s">
        <v>582</v>
      </c>
      <c r="D137" s="543" t="s">
        <v>23</v>
      </c>
    </row>
    <row r="138" spans="2:4" x14ac:dyDescent="0.25">
      <c r="B138" s="648" t="s">
        <v>1146</v>
      </c>
      <c r="C138" s="543" t="s">
        <v>1147</v>
      </c>
      <c r="D138" s="543" t="s">
        <v>156</v>
      </c>
    </row>
    <row r="139" spans="2:4" x14ac:dyDescent="0.25">
      <c r="B139" s="648" t="s">
        <v>1148</v>
      </c>
      <c r="C139" s="543" t="s">
        <v>1147</v>
      </c>
      <c r="D139" s="543" t="s">
        <v>156</v>
      </c>
    </row>
    <row r="140" spans="2:4" x14ac:dyDescent="0.25">
      <c r="B140" s="648" t="s">
        <v>1149</v>
      </c>
      <c r="C140" s="543" t="s">
        <v>1147</v>
      </c>
      <c r="D140" s="543" t="s">
        <v>156</v>
      </c>
    </row>
    <row r="141" spans="2:4" x14ac:dyDescent="0.25">
      <c r="B141" s="648" t="s">
        <v>1150</v>
      </c>
      <c r="C141" s="543" t="s">
        <v>587</v>
      </c>
      <c r="D141" s="543" t="s">
        <v>397</v>
      </c>
    </row>
    <row r="142" spans="2:4" x14ac:dyDescent="0.25">
      <c r="B142" s="648" t="s">
        <v>1151</v>
      </c>
      <c r="C142" s="543" t="s">
        <v>395</v>
      </c>
      <c r="D142" s="543" t="s">
        <v>156</v>
      </c>
    </row>
    <row r="143" spans="2:4" x14ac:dyDescent="0.25">
      <c r="B143" s="648" t="s">
        <v>1152</v>
      </c>
      <c r="C143" s="543" t="s">
        <v>395</v>
      </c>
      <c r="D143" s="543" t="s">
        <v>156</v>
      </c>
    </row>
    <row r="144" spans="2:4" x14ac:dyDescent="0.25">
      <c r="B144" s="648" t="s">
        <v>1153</v>
      </c>
      <c r="C144" s="543" t="s">
        <v>449</v>
      </c>
      <c r="D144" s="543" t="s">
        <v>156</v>
      </c>
    </row>
    <row r="145" spans="2:4" x14ac:dyDescent="0.25">
      <c r="B145" s="648" t="s">
        <v>1154</v>
      </c>
      <c r="C145" s="573" t="s">
        <v>565</v>
      </c>
      <c r="D145" s="543" t="s">
        <v>156</v>
      </c>
    </row>
    <row r="146" spans="2:4" x14ac:dyDescent="0.25">
      <c r="B146" s="648" t="s">
        <v>615</v>
      </c>
      <c r="C146" s="543" t="s">
        <v>616</v>
      </c>
      <c r="D146" s="543" t="s">
        <v>156</v>
      </c>
    </row>
    <row r="147" spans="2:4" x14ac:dyDescent="0.25">
      <c r="B147" s="648" t="s">
        <v>1155</v>
      </c>
      <c r="C147" s="543" t="s">
        <v>595</v>
      </c>
      <c r="D147" s="543" t="s">
        <v>397</v>
      </c>
    </row>
    <row r="148" spans="2:4" x14ac:dyDescent="0.25">
      <c r="B148" s="648" t="s">
        <v>1156</v>
      </c>
      <c r="C148" s="543" t="s">
        <v>595</v>
      </c>
      <c r="D148" s="543" t="s">
        <v>397</v>
      </c>
    </row>
    <row r="149" spans="2:4" x14ac:dyDescent="0.25">
      <c r="B149" s="648" t="s">
        <v>1157</v>
      </c>
      <c r="C149" s="543" t="s">
        <v>600</v>
      </c>
      <c r="D149" s="543" t="s">
        <v>397</v>
      </c>
    </row>
    <row r="150" spans="2:4" x14ac:dyDescent="0.25">
      <c r="B150" s="648" t="s">
        <v>1158</v>
      </c>
      <c r="C150" s="543" t="s">
        <v>600</v>
      </c>
      <c r="D150" s="543" t="s">
        <v>397</v>
      </c>
    </row>
    <row r="151" spans="2:4" x14ac:dyDescent="0.25">
      <c r="B151" s="648" t="s">
        <v>1159</v>
      </c>
      <c r="C151" s="543" t="s">
        <v>600</v>
      </c>
      <c r="D151" s="543" t="s">
        <v>397</v>
      </c>
    </row>
    <row r="152" spans="2:4" x14ac:dyDescent="0.25">
      <c r="B152" s="648" t="s">
        <v>1160</v>
      </c>
      <c r="C152" s="543" t="s">
        <v>600</v>
      </c>
      <c r="D152" s="543" t="s">
        <v>397</v>
      </c>
    </row>
    <row r="153" spans="2:4" x14ac:dyDescent="0.25">
      <c r="B153" s="648" t="s">
        <v>1161</v>
      </c>
      <c r="C153" s="543" t="s">
        <v>636</v>
      </c>
      <c r="D153" s="543" t="s">
        <v>156</v>
      </c>
    </row>
    <row r="154" spans="2:4" x14ac:dyDescent="0.25"/>
    <row r="155" spans="2:4" x14ac:dyDescent="0.25"/>
    <row r="156" spans="2:4" x14ac:dyDescent="0.25"/>
    <row r="157" spans="2:4" x14ac:dyDescent="0.25"/>
    <row r="158" spans="2:4" x14ac:dyDescent="0.25">
      <c r="B158" s="306"/>
    </row>
    <row r="159" spans="2:4" x14ac:dyDescent="0.25">
      <c r="B159" s="306"/>
    </row>
    <row r="160" spans="2:4" x14ac:dyDescent="0.25">
      <c r="B160" s="306"/>
    </row>
    <row r="161" spans="2:2" x14ac:dyDescent="0.25">
      <c r="B161" s="306"/>
    </row>
    <row r="162" spans="2:2" x14ac:dyDescent="0.25">
      <c r="B162" s="306"/>
    </row>
    <row r="163" spans="2:2" x14ac:dyDescent="0.25">
      <c r="B163" s="306"/>
    </row>
    <row r="164" spans="2:2" hidden="1" x14ac:dyDescent="0.25">
      <c r="B164" s="306"/>
    </row>
    <row r="165" spans="2:2" hidden="1" x14ac:dyDescent="0.25">
      <c r="B165" s="306"/>
    </row>
    <row r="166" spans="2:2" hidden="1" x14ac:dyDescent="0.25">
      <c r="B166" s="306"/>
    </row>
    <row r="167" spans="2:2" hidden="1" x14ac:dyDescent="0.25">
      <c r="B167" s="306"/>
    </row>
    <row r="168" spans="2:2" hidden="1" x14ac:dyDescent="0.25">
      <c r="B168" s="306"/>
    </row>
    <row r="169" spans="2:2" hidden="1" x14ac:dyDescent="0.25">
      <c r="B169" s="306"/>
    </row>
    <row r="170" spans="2:2" hidden="1" x14ac:dyDescent="0.25">
      <c r="B170" s="306"/>
    </row>
    <row r="171" spans="2:2" hidden="1" x14ac:dyDescent="0.25">
      <c r="B171" s="306"/>
    </row>
    <row r="172" spans="2:2" hidden="1" x14ac:dyDescent="0.25">
      <c r="B172" s="306"/>
    </row>
    <row r="173" spans="2:2" hidden="1" x14ac:dyDescent="0.25">
      <c r="B173" s="306"/>
    </row>
    <row r="174" spans="2:2" hidden="1" x14ac:dyDescent="0.25">
      <c r="B174" s="306"/>
    </row>
    <row r="175" spans="2:2" hidden="1" x14ac:dyDescent="0.25">
      <c r="B175" s="306"/>
    </row>
    <row r="176" spans="2:2" hidden="1" x14ac:dyDescent="0.25">
      <c r="B176" s="306"/>
    </row>
    <row r="177" spans="2:2" hidden="1" x14ac:dyDescent="0.25">
      <c r="B177" s="306"/>
    </row>
    <row r="178" spans="2:2" hidden="1" x14ac:dyDescent="0.25">
      <c r="B178" s="306"/>
    </row>
    <row r="179" spans="2:2" hidden="1" x14ac:dyDescent="0.25">
      <c r="B179" s="306"/>
    </row>
    <row r="180" spans="2:2" hidden="1" x14ac:dyDescent="0.25">
      <c r="B180" s="306"/>
    </row>
    <row r="181" spans="2:2" hidden="1" x14ac:dyDescent="0.25">
      <c r="B181" s="306"/>
    </row>
    <row r="182" spans="2:2" hidden="1" x14ac:dyDescent="0.25">
      <c r="B182" s="306"/>
    </row>
    <row r="183" spans="2:2" hidden="1" x14ac:dyDescent="0.25">
      <c r="B183" s="306"/>
    </row>
    <row r="184" spans="2:2" hidden="1" x14ac:dyDescent="0.25">
      <c r="B184" s="306"/>
    </row>
    <row r="185" spans="2:2" hidden="1" x14ac:dyDescent="0.25">
      <c r="B185" s="306"/>
    </row>
    <row r="186" spans="2:2" hidden="1" x14ac:dyDescent="0.25">
      <c r="B186" s="306"/>
    </row>
    <row r="187" spans="2:2" hidden="1" x14ac:dyDescent="0.25">
      <c r="B187" s="306"/>
    </row>
    <row r="188" spans="2:2" hidden="1" x14ac:dyDescent="0.25">
      <c r="B188" s="306"/>
    </row>
    <row r="189" spans="2:2" hidden="1" x14ac:dyDescent="0.25">
      <c r="B189" s="306"/>
    </row>
    <row r="190" spans="2:2" hidden="1" x14ac:dyDescent="0.25">
      <c r="B190" s="306"/>
    </row>
    <row r="191" spans="2:2" hidden="1" x14ac:dyDescent="0.25">
      <c r="B191" s="306"/>
    </row>
    <row r="192" spans="2:2" hidden="1" x14ac:dyDescent="0.25">
      <c r="B192" s="306"/>
    </row>
    <row r="193" spans="2:2" hidden="1" x14ac:dyDescent="0.25">
      <c r="B193" s="306"/>
    </row>
    <row r="194" spans="2:2" hidden="1" x14ac:dyDescent="0.25">
      <c r="B194" s="306"/>
    </row>
    <row r="195" spans="2:2" hidden="1" x14ac:dyDescent="0.25">
      <c r="B195" s="306"/>
    </row>
    <row r="196" spans="2:2" hidden="1" x14ac:dyDescent="0.25">
      <c r="B196" s="306"/>
    </row>
    <row r="197" spans="2:2" hidden="1" x14ac:dyDescent="0.25">
      <c r="B197" s="306"/>
    </row>
    <row r="198" spans="2:2" hidden="1" x14ac:dyDescent="0.25">
      <c r="B198" s="306"/>
    </row>
    <row r="199" spans="2:2" hidden="1" x14ac:dyDescent="0.25">
      <c r="B199" s="306"/>
    </row>
    <row r="200" spans="2:2" hidden="1" x14ac:dyDescent="0.25">
      <c r="B200" s="306"/>
    </row>
    <row r="201" spans="2:2" hidden="1" x14ac:dyDescent="0.25">
      <c r="B201" s="306"/>
    </row>
    <row r="202" spans="2:2" hidden="1" x14ac:dyDescent="0.25">
      <c r="B202" s="306"/>
    </row>
    <row r="203" spans="2:2" hidden="1" x14ac:dyDescent="0.25">
      <c r="B203" s="306"/>
    </row>
    <row r="204" spans="2:2" hidden="1" x14ac:dyDescent="0.25">
      <c r="B204" s="306"/>
    </row>
    <row r="205" spans="2:2" hidden="1" x14ac:dyDescent="0.25">
      <c r="B205" s="306"/>
    </row>
    <row r="206" spans="2:2" hidden="1" x14ac:dyDescent="0.25">
      <c r="B206" s="306"/>
    </row>
    <row r="207" spans="2:2" hidden="1" x14ac:dyDescent="0.25">
      <c r="B207" s="306"/>
    </row>
    <row r="208" spans="2:2" hidden="1" x14ac:dyDescent="0.25">
      <c r="B208" s="306"/>
    </row>
    <row r="209" spans="2:2" hidden="1" x14ac:dyDescent="0.25">
      <c r="B209" s="306"/>
    </row>
    <row r="210" spans="2:2" hidden="1" x14ac:dyDescent="0.25">
      <c r="B210" s="306"/>
    </row>
    <row r="211" spans="2:2" hidden="1" x14ac:dyDescent="0.2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40625"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9.140625" style="9" customWidth="1"/>
    <col min="16" max="16" width="34.5703125" style="9" customWidth="1"/>
    <col min="17" max="17" width="13.7109375" style="9" bestFit="1" customWidth="1"/>
    <col min="18" max="18" width="19.28515625" style="9" customWidth="1"/>
    <col min="19" max="20" width="9.140625" style="9" customWidth="1"/>
    <col min="21" max="16384" width="9.140625" style="9"/>
  </cols>
  <sheetData>
    <row r="1" spans="1:18" ht="15.75" customHeight="1" x14ac:dyDescent="0.5">
      <c r="B1" s="16"/>
      <c r="C1" s="16"/>
      <c r="E1" s="17"/>
      <c r="F1" s="712"/>
      <c r="G1" s="712"/>
      <c r="H1" s="712"/>
      <c r="I1" s="712"/>
      <c r="J1" s="712"/>
      <c r="K1" s="713"/>
      <c r="L1" s="713"/>
      <c r="M1" s="713"/>
      <c r="N1" s="713"/>
      <c r="O1" s="713"/>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1084"/>
      <c r="E10" s="1084"/>
      <c r="F10" s="1084"/>
      <c r="G10" s="1084"/>
      <c r="H10" s="1084"/>
      <c r="I10" s="1084"/>
      <c r="J10" s="1084"/>
      <c r="K10" s="1084"/>
      <c r="L10" s="1084"/>
      <c r="M10" s="108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40625" defaultRowHeight="15" x14ac:dyDescent="0.25"/>
  <cols>
    <col min="1" max="1" width="41.28515625" style="273" customWidth="1"/>
    <col min="2" max="2" width="56.42578125" style="273" bestFit="1" customWidth="1"/>
    <col min="3" max="3" width="9.140625" style="273"/>
    <col min="4" max="4" width="48.85546875" style="273" customWidth="1"/>
    <col min="5" max="16384" width="9.140625" style="273"/>
  </cols>
  <sheetData>
    <row r="1" spans="1:4" s="274" customFormat="1" x14ac:dyDescent="0.25">
      <c r="A1" s="308" t="s">
        <v>1162</v>
      </c>
      <c r="B1" s="309" t="s">
        <v>1163</v>
      </c>
      <c r="D1" s="278" t="s">
        <v>1164</v>
      </c>
    </row>
    <row r="2" spans="1:4" x14ac:dyDescent="0.25">
      <c r="A2" s="658" t="s">
        <v>1165</v>
      </c>
      <c r="B2" s="659" t="s">
        <v>1166</v>
      </c>
      <c r="D2" s="658" t="str">
        <f>'G-1 All Habitats'!B3</f>
        <v>Cropland - Arable field margins cultivated annually</v>
      </c>
    </row>
    <row r="3" spans="1:4" x14ac:dyDescent="0.25">
      <c r="A3" s="658" t="s">
        <v>1167</v>
      </c>
      <c r="B3" s="659" t="s">
        <v>1168</v>
      </c>
      <c r="D3" s="658" t="str">
        <f>'G-1 All Habitats'!B4</f>
        <v>Cropland - Arable field margins game bird mix</v>
      </c>
    </row>
    <row r="4" spans="1:4" x14ac:dyDescent="0.25">
      <c r="A4" s="658" t="s">
        <v>1169</v>
      </c>
      <c r="B4" s="659" t="s">
        <v>1170</v>
      </c>
      <c r="D4" s="658" t="str">
        <f>'G-1 All Habitats'!B5</f>
        <v>Cropland - Arable field margins pollen &amp; nectar</v>
      </c>
    </row>
    <row r="5" spans="1:4" x14ac:dyDescent="0.25">
      <c r="A5" s="658" t="s">
        <v>1171</v>
      </c>
      <c r="B5" s="659" t="s">
        <v>1172</v>
      </c>
      <c r="D5" s="658" t="str">
        <f>'G-1 All Habitats'!B6</f>
        <v>Cropland - Arable field margins tussocky</v>
      </c>
    </row>
    <row r="6" spans="1:4" x14ac:dyDescent="0.25">
      <c r="A6" s="658" t="s">
        <v>1173</v>
      </c>
      <c r="B6" s="659" t="s">
        <v>1174</v>
      </c>
      <c r="D6" s="658" t="str">
        <f>'G-1 All Habitats'!B7</f>
        <v>Cropland - Cereal crops</v>
      </c>
    </row>
    <row r="7" spans="1:4" x14ac:dyDescent="0.25">
      <c r="A7" s="658" t="s">
        <v>1175</v>
      </c>
      <c r="B7" s="659" t="s">
        <v>1176</v>
      </c>
      <c r="D7" s="658" t="e">
        <f>'G-1 All Habitats'!#REF!</f>
        <v>#REF!</v>
      </c>
    </row>
    <row r="8" spans="1:4" x14ac:dyDescent="0.25">
      <c r="A8" s="658" t="s">
        <v>1177</v>
      </c>
      <c r="B8" s="659" t="s">
        <v>1178</v>
      </c>
      <c r="D8" s="658" t="str">
        <f>'G-1 All Habitats'!B8</f>
        <v>Cropland - Cereal crops winter stubble</v>
      </c>
    </row>
    <row r="9" spans="1:4" x14ac:dyDescent="0.25">
      <c r="A9" s="658" t="s">
        <v>1179</v>
      </c>
      <c r="B9" s="659" t="s">
        <v>1180</v>
      </c>
      <c r="D9" s="658" t="str">
        <f>'G-1 All Habitats'!B9</f>
        <v>Cropland - Horticulture</v>
      </c>
    </row>
    <row r="10" spans="1:4" x14ac:dyDescent="0.25">
      <c r="A10" s="658" t="s">
        <v>1181</v>
      </c>
      <c r="B10" s="659" t="s">
        <v>1182</v>
      </c>
      <c r="D10" s="658" t="str">
        <f>'G-1 All Habitats'!B10</f>
        <v>Cropland - Intensive orchards</v>
      </c>
    </row>
    <row r="11" spans="1:4" x14ac:dyDescent="0.25">
      <c r="A11" s="658" t="s">
        <v>1183</v>
      </c>
      <c r="B11" s="659" t="s">
        <v>1184</v>
      </c>
      <c r="D11" s="658" t="str">
        <f>'G-1 All Habitats'!B11</f>
        <v>Cropland - Non-cereal crops</v>
      </c>
    </row>
    <row r="12" spans="1:4" x14ac:dyDescent="0.25">
      <c r="A12" s="658" t="s">
        <v>1185</v>
      </c>
      <c r="B12" s="659" t="s">
        <v>1186</v>
      </c>
      <c r="D12" s="658" t="str">
        <f>'G-1 All Habitats'!B12</f>
        <v>Cropland - Temporary grass and clover leys</v>
      </c>
    </row>
    <row r="13" spans="1:4" x14ac:dyDescent="0.25">
      <c r="A13" s="658" t="s">
        <v>1187</v>
      </c>
      <c r="B13" s="659" t="s">
        <v>1188</v>
      </c>
      <c r="D13" s="658" t="str">
        <f>'G-1 All Habitats'!B13</f>
        <v>Grassland - Traditional orchards</v>
      </c>
    </row>
    <row r="14" spans="1:4" x14ac:dyDescent="0.25">
      <c r="A14" s="658" t="s">
        <v>1189</v>
      </c>
      <c r="B14" s="659" t="s">
        <v>1190</v>
      </c>
      <c r="D14" s="658" t="str">
        <f>'G-1 All Habitats'!B14</f>
        <v>Grassland - Bracken</v>
      </c>
    </row>
    <row r="15" spans="1:4" x14ac:dyDescent="0.25">
      <c r="A15" s="658" t="s">
        <v>1191</v>
      </c>
      <c r="B15" s="659" t="s">
        <v>1192</v>
      </c>
      <c r="D15" s="658" t="str">
        <f>'G-1 All Habitats'!B15</f>
        <v>Grassland - Floodplain Wetland Mosaic (CFGM)</v>
      </c>
    </row>
    <row r="16" spans="1:4" x14ac:dyDescent="0.25">
      <c r="A16" s="658" t="s">
        <v>1193</v>
      </c>
      <c r="B16" s="659" t="s">
        <v>1194</v>
      </c>
      <c r="D16" s="658" t="str">
        <f>'G-1 All Habitats'!B16</f>
        <v>Grassland - Lowland calcareous grassland</v>
      </c>
    </row>
    <row r="17" spans="1:4" x14ac:dyDescent="0.25">
      <c r="A17" s="658" t="s">
        <v>1195</v>
      </c>
      <c r="D17" s="658" t="str">
        <f>'G-1 All Habitats'!B17</f>
        <v>Grassland - Lowland dry acid grassland</v>
      </c>
    </row>
    <row r="18" spans="1:4" x14ac:dyDescent="0.25">
      <c r="A18" s="658" t="s">
        <v>1196</v>
      </c>
      <c r="D18" s="658" t="str">
        <f>'G-1 All Habitats'!B18</f>
        <v>Grassland - Lowland meadows</v>
      </c>
    </row>
    <row r="19" spans="1:4" x14ac:dyDescent="0.25">
      <c r="A19" s="658" t="s">
        <v>1197</v>
      </c>
      <c r="D19" s="658" t="str">
        <f>'G-1 All Habitats'!B19</f>
        <v>Grassland - Modified grassland</v>
      </c>
    </row>
    <row r="20" spans="1:4" x14ac:dyDescent="0.25">
      <c r="A20" s="658" t="s">
        <v>1198</v>
      </c>
      <c r="D20" s="658" t="str">
        <f>'G-1 All Habitats'!B20</f>
        <v>Grassland - Other lowland acid grassland</v>
      </c>
    </row>
    <row r="21" spans="1:4" x14ac:dyDescent="0.25">
      <c r="A21" s="658" t="s">
        <v>1199</v>
      </c>
      <c r="D21" s="658" t="str">
        <f>'G-1 All Habitats'!B21</f>
        <v>Grassland - Other neutral grassland</v>
      </c>
    </row>
    <row r="22" spans="1:4" x14ac:dyDescent="0.25">
      <c r="A22" s="658" t="s">
        <v>1200</v>
      </c>
      <c r="D22" s="658" t="str">
        <f>'G-1 All Habitats'!B22</f>
        <v>Grassland - Tall herb communities (H6430)</v>
      </c>
    </row>
    <row r="23" spans="1:4" x14ac:dyDescent="0.25">
      <c r="A23" s="658" t="s">
        <v>1201</v>
      </c>
      <c r="D23" s="658" t="str">
        <f>'G-1 All Habitats'!B23</f>
        <v>Grassland - Upland acid grassland</v>
      </c>
    </row>
    <row r="24" spans="1:4" x14ac:dyDescent="0.25">
      <c r="A24" s="658" t="s">
        <v>1202</v>
      </c>
      <c r="D24" s="658" t="str">
        <f>'G-1 All Habitats'!B24</f>
        <v>Grassland - Upland calcareous grassland</v>
      </c>
    </row>
    <row r="25" spans="1:4" x14ac:dyDescent="0.25">
      <c r="A25" s="658" t="s">
        <v>1203</v>
      </c>
      <c r="D25" s="658" t="str">
        <f>'G-1 All Habitats'!B25</f>
        <v>Grassland - Upland hay meadows</v>
      </c>
    </row>
    <row r="26" spans="1:4" x14ac:dyDescent="0.25">
      <c r="A26" s="658" t="s">
        <v>1204</v>
      </c>
      <c r="D26" s="658" t="str">
        <f>'G-1 All Habitats'!B26</f>
        <v>Heathland and shrub - Blackthorn scrub</v>
      </c>
    </row>
    <row r="27" spans="1:4" x14ac:dyDescent="0.25">
      <c r="A27" s="658" t="s">
        <v>1205</v>
      </c>
      <c r="D27" s="658" t="str">
        <f>'G-1 All Habitats'!B27</f>
        <v>Heathland and shrub - Bramble scrub</v>
      </c>
    </row>
    <row r="28" spans="1:4" x14ac:dyDescent="0.25">
      <c r="A28" s="658" t="s">
        <v>1206</v>
      </c>
      <c r="D28" s="658" t="str">
        <f>'G-1 All Habitats'!B28</f>
        <v>Heathland and shrub - Gorse scrub</v>
      </c>
    </row>
    <row r="29" spans="1:4" x14ac:dyDescent="0.25">
      <c r="A29" s="658" t="s">
        <v>1207</v>
      </c>
      <c r="D29" s="658" t="str">
        <f>'G-1 All Habitats'!B29</f>
        <v>Heathland and shrub - Hawthorn scrub</v>
      </c>
    </row>
    <row r="30" spans="1:4" x14ac:dyDescent="0.25">
      <c r="A30" s="658" t="s">
        <v>1208</v>
      </c>
      <c r="D30" s="658" t="str">
        <f>'G-1 All Habitats'!B30</f>
        <v>Heathland and shrub - Hazel scrub</v>
      </c>
    </row>
    <row r="31" spans="1:4" x14ac:dyDescent="0.25">
      <c r="A31" s="658" t="s">
        <v>1209</v>
      </c>
      <c r="D31" s="658" t="str">
        <f>'G-1 All Habitats'!B31</f>
        <v>Heathland and shrub - Lowland Heathland</v>
      </c>
    </row>
    <row r="32" spans="1:4" x14ac:dyDescent="0.25">
      <c r="A32" s="658" t="s">
        <v>1210</v>
      </c>
      <c r="D32" s="658" t="str">
        <f>'G-1 All Habitats'!B32</f>
        <v>Heathland and shrub - Mixed scrub</v>
      </c>
    </row>
    <row r="33" spans="1:4" x14ac:dyDescent="0.25">
      <c r="A33" s="658" t="s">
        <v>1211</v>
      </c>
      <c r="D33" s="658" t="str">
        <f>'G-1 All Habitats'!B33</f>
        <v>Heathland and shrub - Mountain heaths and willow scrub</v>
      </c>
    </row>
    <row r="34" spans="1:4" x14ac:dyDescent="0.25">
      <c r="A34" s="658" t="s">
        <v>1212</v>
      </c>
      <c r="D34" s="658" t="str">
        <f>'G-1 All Habitats'!B34</f>
        <v>Heathland and shrub - Rhododendron scrub</v>
      </c>
    </row>
    <row r="35" spans="1:4" x14ac:dyDescent="0.25">
      <c r="A35" s="658" t="s">
        <v>1213</v>
      </c>
      <c r="D35" s="658" t="str">
        <f>'G-1 All Habitats'!B35</f>
        <v>Heathland and shrub - Sea buckthorn scrub (Annex 1)</v>
      </c>
    </row>
    <row r="36" spans="1:4" x14ac:dyDescent="0.25">
      <c r="A36" s="658" t="s">
        <v>1214</v>
      </c>
      <c r="D36" s="658" t="str">
        <f>'G-1 All Habitats'!B36</f>
        <v>Heathland and shrub - Sea buckthorn scrub (other)</v>
      </c>
    </row>
    <row r="37" spans="1:4" x14ac:dyDescent="0.25">
      <c r="A37" s="658" t="s">
        <v>1215</v>
      </c>
      <c r="D37" s="658" t="str">
        <f>'G-1 All Habitats'!B37</f>
        <v>Heathland and shrub - Upland Heathland</v>
      </c>
    </row>
    <row r="38" spans="1:4" x14ac:dyDescent="0.25">
      <c r="A38" s="658" t="s">
        <v>1216</v>
      </c>
      <c r="D38" s="658" t="str">
        <f>'G-1 All Habitats'!B38</f>
        <v>Lakes - Aquifer fed naturally fluctuating water bodies</v>
      </c>
    </row>
    <row r="39" spans="1:4" x14ac:dyDescent="0.25">
      <c r="A39" s="658" t="s">
        <v>1217</v>
      </c>
      <c r="D39" s="658" t="e">
        <f>'G-1 All Habitats'!#REF!</f>
        <v>#REF!</v>
      </c>
    </row>
    <row r="40" spans="1:4" x14ac:dyDescent="0.25">
      <c r="A40" s="658" t="s">
        <v>1218</v>
      </c>
      <c r="D40" s="658" t="str">
        <f>'G-1 All Habitats'!B40</f>
        <v>Lakes - High alkalinity lakes</v>
      </c>
    </row>
    <row r="41" spans="1:4" x14ac:dyDescent="0.25">
      <c r="A41" s="658" t="s">
        <v>1219</v>
      </c>
      <c r="D41" s="658" t="str">
        <f>'G-1 All Habitats'!B41</f>
        <v>Lakes - Low alkalinity lakes</v>
      </c>
    </row>
    <row r="42" spans="1:4" x14ac:dyDescent="0.25">
      <c r="A42" s="658" t="s">
        <v>1220</v>
      </c>
      <c r="D42" s="658" t="str">
        <f>'G-1 All Habitats'!B42</f>
        <v>Lakes - Marl Lakes</v>
      </c>
    </row>
    <row r="43" spans="1:4" x14ac:dyDescent="0.25">
      <c r="A43" s="658" t="s">
        <v>1221</v>
      </c>
      <c r="D43" s="658" t="str">
        <f>'G-1 All Habitats'!B43</f>
        <v>Lakes - Moderate alkalinity lakes</v>
      </c>
    </row>
    <row r="44" spans="1:4" x14ac:dyDescent="0.25">
      <c r="A44" s="658" t="s">
        <v>1222</v>
      </c>
      <c r="D44" s="658" t="str">
        <f>'G-1 All Habitats'!B44</f>
        <v>Lakes - Peat Lakes</v>
      </c>
    </row>
    <row r="45" spans="1:4" x14ac:dyDescent="0.25">
      <c r="A45" s="658" t="s">
        <v>1223</v>
      </c>
      <c r="D45" s="658" t="str">
        <f>'G-1 All Habitats'!B45</f>
        <v>Lakes - Ponds (Priority Habitat)</v>
      </c>
    </row>
    <row r="46" spans="1:4" x14ac:dyDescent="0.25">
      <c r="A46" s="658" t="s">
        <v>1224</v>
      </c>
      <c r="D46" s="658" t="str">
        <f>'G-1 All Habitats'!B46</f>
        <v>Lakes - Ponds (Non- Priority Habitat)</v>
      </c>
    </row>
    <row r="47" spans="1:4" x14ac:dyDescent="0.25">
      <c r="A47" s="658" t="s">
        <v>1225</v>
      </c>
      <c r="D47" s="658" t="str">
        <f>'G-1 All Habitats'!B47</f>
        <v>Lakes - Reservoirs</v>
      </c>
    </row>
    <row r="48" spans="1:4" x14ac:dyDescent="0.25">
      <c r="A48" s="658" t="s">
        <v>1226</v>
      </c>
      <c r="D48" s="658" t="str">
        <f>'G-1 All Habitats'!B48</f>
        <v>Lakes - Temporary lakes, ponds and pools</v>
      </c>
    </row>
    <row r="49" spans="1:4" x14ac:dyDescent="0.25">
      <c r="A49" s="658" t="s">
        <v>1227</v>
      </c>
      <c r="D49" s="658" t="str">
        <f>'G-1 All Habitats'!B49</f>
        <v>Sparsely vegetated land - Calaminarian grasslands</v>
      </c>
    </row>
    <row r="50" spans="1:4" x14ac:dyDescent="0.25">
      <c r="A50" s="658" t="s">
        <v>1228</v>
      </c>
      <c r="D50" s="658" t="str">
        <f>'G-1 All Habitats'!B50</f>
        <v>Sparsely vegetated land - Coastal sand dunes</v>
      </c>
    </row>
    <row r="51" spans="1:4" x14ac:dyDescent="0.25">
      <c r="A51" s="658" t="s">
        <v>1229</v>
      </c>
      <c r="D51" s="658" t="str">
        <f>'G-1 All Habitats'!B51</f>
        <v>Sparsely vegetated land - Coastal vegetated shingle</v>
      </c>
    </row>
    <row r="52" spans="1:4" x14ac:dyDescent="0.25">
      <c r="A52" s="658" t="s">
        <v>1230</v>
      </c>
      <c r="D52" s="658" t="str">
        <f>'G-1 All Habitats'!B52</f>
        <v>Sparsely vegetated land - Ruderal/Ephemeral</v>
      </c>
    </row>
    <row r="53" spans="1:4" x14ac:dyDescent="0.25">
      <c r="A53" s="658" t="s">
        <v>1231</v>
      </c>
      <c r="D53" s="658" t="str">
        <f>'G-1 All Habitats'!B53</f>
        <v>Sparsely vegetated land - Inland rock outcrop and scree habitats</v>
      </c>
    </row>
    <row r="54" spans="1:4" x14ac:dyDescent="0.25">
      <c r="A54" s="658" t="s">
        <v>1232</v>
      </c>
      <c r="D54" s="658" t="str">
        <f>'G-1 All Habitats'!B54</f>
        <v>Sparsely vegetated land - Limestone pavement</v>
      </c>
    </row>
    <row r="55" spans="1:4" x14ac:dyDescent="0.25">
      <c r="A55" s="658" t="s">
        <v>1233</v>
      </c>
      <c r="D55" s="658" t="str">
        <f>'G-1 All Habitats'!B55</f>
        <v>Sparsely vegetated land - Maritime cliff and slopes</v>
      </c>
    </row>
    <row r="56" spans="1:4" x14ac:dyDescent="0.25">
      <c r="A56" s="658" t="s">
        <v>1234</v>
      </c>
      <c r="D56" s="658" t="str">
        <f>'G-1 All Habitats'!B56</f>
        <v>Sparsely vegetated land - Other inland rock and scree</v>
      </c>
    </row>
    <row r="57" spans="1:4" x14ac:dyDescent="0.25">
      <c r="A57" s="658" t="s">
        <v>1235</v>
      </c>
      <c r="D57" s="658" t="str">
        <f>'G-1 All Habitats'!B57</f>
        <v>Urban - Allotments</v>
      </c>
    </row>
    <row r="58" spans="1:4" x14ac:dyDescent="0.25">
      <c r="A58" s="658" t="s">
        <v>1236</v>
      </c>
      <c r="D58" s="658" t="str">
        <f>'G-1 All Habitats'!B39</f>
        <v>Lakes - Ornamental lake or pond</v>
      </c>
    </row>
    <row r="59" spans="1:4" x14ac:dyDescent="0.25">
      <c r="A59" s="658" t="s">
        <v>1237</v>
      </c>
      <c r="D59" s="658" t="str">
        <f>'G-1 All Habitats'!B58</f>
        <v>Urban - Artificial unvegetated, unsealed surface</v>
      </c>
    </row>
    <row r="60" spans="1:4" x14ac:dyDescent="0.25">
      <c r="A60" s="658" t="s">
        <v>1238</v>
      </c>
      <c r="D60" s="658" t="str">
        <f>'G-1 All Habitats'!B59</f>
        <v>Urban - Bioswale</v>
      </c>
    </row>
    <row r="61" spans="1:4" x14ac:dyDescent="0.25">
      <c r="A61" s="658" t="s">
        <v>1239</v>
      </c>
      <c r="D61" s="658" t="str">
        <f>'G-1 All Habitats'!B60</f>
        <v>Urban - Intensive green roof</v>
      </c>
    </row>
    <row r="62" spans="1:4" x14ac:dyDescent="0.25">
      <c r="A62" s="658" t="s">
        <v>1240</v>
      </c>
      <c r="D62" s="658" t="str">
        <f>'G-1 All Habitats'!B61</f>
        <v>Urban - Built linear features</v>
      </c>
    </row>
    <row r="63" spans="1:4" x14ac:dyDescent="0.25">
      <c r="A63" s="658" t="s">
        <v>1241</v>
      </c>
      <c r="D63" s="658" t="str">
        <f>'G-1 All Habitats'!B62</f>
        <v>Urban - Cemeteries and churchyards</v>
      </c>
    </row>
    <row r="64" spans="1:4" x14ac:dyDescent="0.25">
      <c r="A64" s="658" t="s">
        <v>1242</v>
      </c>
      <c r="D64" s="658" t="str">
        <f>'G-1 All Habitats'!B63</f>
        <v>Urban - Developed land; sealed surface</v>
      </c>
    </row>
    <row r="65" spans="1:4" x14ac:dyDescent="0.25">
      <c r="A65" s="658" t="s">
        <v>1243</v>
      </c>
      <c r="D65" s="658" t="str">
        <f>'G-1 All Habitats'!B64</f>
        <v>Urban - Other green roof</v>
      </c>
    </row>
    <row r="66" spans="1:4" x14ac:dyDescent="0.25">
      <c r="A66" s="658" t="s">
        <v>1244</v>
      </c>
      <c r="D66" s="658" t="str">
        <f>'G-1 All Habitats'!B65</f>
        <v>Urban - Facade-bound green wall</v>
      </c>
    </row>
    <row r="67" spans="1:4" x14ac:dyDescent="0.25">
      <c r="A67" s="658" t="s">
        <v>1245</v>
      </c>
      <c r="D67" s="658" t="str">
        <f>'G-1 All Habitats'!B66</f>
        <v>Urban - Ground based green wall</v>
      </c>
    </row>
    <row r="68" spans="1:4" x14ac:dyDescent="0.25">
      <c r="A68" s="658" t="s">
        <v>1246</v>
      </c>
      <c r="D68" s="658" t="str">
        <f>'G-1 All Habitats'!B67</f>
        <v>Urban - Ground level planters</v>
      </c>
    </row>
    <row r="69" spans="1:4" x14ac:dyDescent="0.25">
      <c r="A69" s="658" t="s">
        <v>1247</v>
      </c>
      <c r="D69" s="658" t="str">
        <f>'G-1 All Habitats'!B68</f>
        <v>Urban - Biodiverse green roof</v>
      </c>
    </row>
    <row r="70" spans="1:4" x14ac:dyDescent="0.25">
      <c r="A70" s="658" t="s">
        <v>1248</v>
      </c>
      <c r="D70" s="658" t="str">
        <f>'G-1 All Habitats'!B69</f>
        <v>Urban - Introduced shrub</v>
      </c>
    </row>
    <row r="71" spans="1:4" x14ac:dyDescent="0.25">
      <c r="A71" s="658" t="s">
        <v>1249</v>
      </c>
      <c r="D71" s="658" t="e">
        <f>'G-1 All Habitats'!#REF!</f>
        <v>#REF!</v>
      </c>
    </row>
    <row r="72" spans="1:4" x14ac:dyDescent="0.25">
      <c r="A72" s="658" t="s">
        <v>1250</v>
      </c>
      <c r="D72" s="658" t="str">
        <f>'G-1 All Habitats'!B70</f>
        <v>Urban - Open Mosaic Habitats on Previously Developed Land</v>
      </c>
    </row>
    <row r="73" spans="1:4" x14ac:dyDescent="0.25">
      <c r="A73" s="658" t="s">
        <v>1251</v>
      </c>
      <c r="D73" s="658" t="e">
        <f>'G-1 All Habitats'!#REF!</f>
        <v>#REF!</v>
      </c>
    </row>
    <row r="74" spans="1:4" x14ac:dyDescent="0.25">
      <c r="A74" s="658" t="s">
        <v>1252</v>
      </c>
      <c r="D74" s="658" t="str">
        <f>'G-1 All Habitats'!B71</f>
        <v>Urban - Rain garden</v>
      </c>
    </row>
    <row r="75" spans="1:4" x14ac:dyDescent="0.25">
      <c r="A75" s="658" t="s">
        <v>1253</v>
      </c>
      <c r="D75" s="658" t="str">
        <f>'G-1 All Habitats'!B72</f>
        <v>Urban - Actively worked sand pit quarry or open cast mine</v>
      </c>
    </row>
    <row r="76" spans="1:4" x14ac:dyDescent="0.25">
      <c r="A76" s="658" t="s">
        <v>1254</v>
      </c>
      <c r="D76" s="658" t="str">
        <f>'G-1 All Habitats'!B73</f>
        <v>Urban - Urban Tree</v>
      </c>
    </row>
    <row r="77" spans="1:4" x14ac:dyDescent="0.25">
      <c r="A77" s="658" t="s">
        <v>1255</v>
      </c>
      <c r="D77" s="658" t="e">
        <f>'G-1 All Habitats'!#REF!</f>
        <v>#REF!</v>
      </c>
    </row>
    <row r="78" spans="1:4" x14ac:dyDescent="0.25">
      <c r="A78" s="658" t="s">
        <v>1256</v>
      </c>
      <c r="D78" s="658" t="str">
        <f>'G-1 All Habitats'!B74</f>
        <v>Urban - Sustainable urban drainage feature</v>
      </c>
    </row>
    <row r="79" spans="1:4" x14ac:dyDescent="0.25">
      <c r="A79" s="658" t="s">
        <v>1257</v>
      </c>
      <c r="D79" s="658" t="str">
        <f>'G-1 All Habitats'!B75</f>
        <v>Urban - Un-vegetated garden</v>
      </c>
    </row>
    <row r="80" spans="1:4" x14ac:dyDescent="0.25">
      <c r="A80" s="658" t="s">
        <v>1258</v>
      </c>
      <c r="D80" s="658" t="str">
        <f>'G-1 All Habitats'!B76</f>
        <v>Urban - Vacant/derelict land/ bareground</v>
      </c>
    </row>
    <row r="81" spans="1:4" x14ac:dyDescent="0.25">
      <c r="A81" s="658" t="s">
        <v>1259</v>
      </c>
      <c r="D81" s="658" t="str">
        <f>'G-1 All Habitats'!B77</f>
        <v>Urban - Vegetated garden</v>
      </c>
    </row>
    <row r="82" spans="1:4" x14ac:dyDescent="0.25">
      <c r="A82" s="658" t="s">
        <v>1260</v>
      </c>
      <c r="D82" s="658" t="e">
        <f>'G-1 All Habitats'!#REF!</f>
        <v>#REF!</v>
      </c>
    </row>
    <row r="83" spans="1:4" x14ac:dyDescent="0.25">
      <c r="A83" s="658" t="s">
        <v>1261</v>
      </c>
      <c r="D83" s="658" t="str">
        <f>'G-1 All Habitats'!B78</f>
        <v>Wetland - Blanket bog</v>
      </c>
    </row>
    <row r="84" spans="1:4" x14ac:dyDescent="0.25">
      <c r="A84" s="658" t="s">
        <v>1262</v>
      </c>
      <c r="D84" s="658" t="str">
        <f>'G-1 All Habitats'!B79</f>
        <v>Wetland - Depressions on Peat substrates (H7150)</v>
      </c>
    </row>
    <row r="85" spans="1:4" x14ac:dyDescent="0.25">
      <c r="A85" s="658" t="s">
        <v>1263</v>
      </c>
      <c r="D85" s="658" t="str">
        <f>'G-1 All Habitats'!B80</f>
        <v>Wetland - Fens (upland and lowland)</v>
      </c>
    </row>
    <row r="86" spans="1:4" x14ac:dyDescent="0.25">
      <c r="A86" s="658" t="s">
        <v>1264</v>
      </c>
      <c r="D86" s="658" t="str">
        <f>'G-1 All Habitats'!B81</f>
        <v>Wetland - Lowland raised bog</v>
      </c>
    </row>
    <row r="87" spans="1:4" x14ac:dyDescent="0.25">
      <c r="A87" s="658" t="s">
        <v>1265</v>
      </c>
      <c r="D87" s="658" t="str">
        <f>'G-1 All Habitats'!B82</f>
        <v>Wetland - Oceanic Valley Mire[1] (D2.1)</v>
      </c>
    </row>
    <row r="88" spans="1:4" x14ac:dyDescent="0.25">
      <c r="A88" s="658" t="s">
        <v>1266</v>
      </c>
      <c r="D88" s="658" t="str">
        <f>'G-1 All Habitats'!B83</f>
        <v>Wetland - Purple moor grass and rush pastures</v>
      </c>
    </row>
    <row r="89" spans="1:4" x14ac:dyDescent="0.25">
      <c r="A89" s="658" t="s">
        <v>1267</v>
      </c>
      <c r="D89" s="658" t="str">
        <f>'G-1 All Habitats'!B84</f>
        <v>Wetland - Reedbeds</v>
      </c>
    </row>
    <row r="90" spans="1:4" x14ac:dyDescent="0.25">
      <c r="A90" s="658" t="s">
        <v>1268</v>
      </c>
      <c r="D90" s="658" t="str">
        <f>'G-1 All Habitats'!B85</f>
        <v>Wetland - Transition mires and quaking bogs (H7140)</v>
      </c>
    </row>
    <row r="91" spans="1:4" x14ac:dyDescent="0.25">
      <c r="A91" s="658" t="s">
        <v>1269</v>
      </c>
      <c r="D91" s="658" t="str">
        <f>'G-1 All Habitats'!B86</f>
        <v>Woodland and forest - Felled</v>
      </c>
    </row>
    <row r="92" spans="1:4" x14ac:dyDescent="0.25">
      <c r="A92" s="658" t="s">
        <v>1270</v>
      </c>
      <c r="D92" s="658" t="str">
        <f>'G-1 All Habitats'!B87</f>
        <v>Woodland and forest - Lowland beech and yew woodland</v>
      </c>
    </row>
    <row r="93" spans="1:4" x14ac:dyDescent="0.25">
      <c r="A93" s="658" t="s">
        <v>1271</v>
      </c>
      <c r="D93" s="658" t="str">
        <f>'G-1 All Habitats'!B88</f>
        <v>Woodland and forest - Lowland mixed deciduous woodland</v>
      </c>
    </row>
    <row r="94" spans="1:4" x14ac:dyDescent="0.25">
      <c r="A94" s="658" t="s">
        <v>1272</v>
      </c>
      <c r="D94" s="658" t="str">
        <f>'G-1 All Habitats'!B89</f>
        <v>Woodland and forest - Native pine woodlands</v>
      </c>
    </row>
    <row r="95" spans="1:4" x14ac:dyDescent="0.25">
      <c r="A95" s="658" t="s">
        <v>1273</v>
      </c>
      <c r="D95" s="658" t="str">
        <f>'G-1 All Habitats'!B90</f>
        <v>Woodland and forest - Other coniferous woodland</v>
      </c>
    </row>
    <row r="96" spans="1:4" x14ac:dyDescent="0.25">
      <c r="A96" s="658" t="s">
        <v>1274</v>
      </c>
      <c r="D96" s="658" t="str">
        <f>'G-1 All Habitats'!B91</f>
        <v>Woodland and forest - Other Scot's Pine woodland</v>
      </c>
    </row>
    <row r="97" spans="1:4" x14ac:dyDescent="0.25">
      <c r="A97" s="658" t="s">
        <v>1275</v>
      </c>
      <c r="D97" s="658" t="str">
        <f>'G-1 All Habitats'!B92</f>
        <v>Woodland and forest - Other woodland; broadleaved</v>
      </c>
    </row>
    <row r="98" spans="1:4" x14ac:dyDescent="0.25">
      <c r="A98" s="658" t="s">
        <v>1276</v>
      </c>
      <c r="D98" s="658" t="str">
        <f>'G-1 All Habitats'!B93</f>
        <v>Woodland and forest - Other woodland; mixed</v>
      </c>
    </row>
    <row r="99" spans="1:4" x14ac:dyDescent="0.25">
      <c r="A99" s="658" t="s">
        <v>1277</v>
      </c>
      <c r="D99" s="658" t="e">
        <f>'G-1 All Habitats'!#REF!</f>
        <v>#REF!</v>
      </c>
    </row>
    <row r="100" spans="1:4" x14ac:dyDescent="0.25">
      <c r="A100" s="658" t="s">
        <v>1278</v>
      </c>
      <c r="D100" s="658" t="str">
        <f>'G-1 All Habitats'!B94</f>
        <v>Woodland and forest - Upland birchwoods</v>
      </c>
    </row>
    <row r="101" spans="1:4" x14ac:dyDescent="0.25">
      <c r="A101" s="658" t="s">
        <v>1279</v>
      </c>
      <c r="D101" s="658" t="str">
        <f>'G-1 All Habitats'!B95</f>
        <v>Woodland and forest - Upland mixed ashwoods</v>
      </c>
    </row>
    <row r="102" spans="1:4" x14ac:dyDescent="0.25">
      <c r="A102" s="658" t="s">
        <v>1280</v>
      </c>
      <c r="D102" s="658" t="str">
        <f>'G-1 All Habitats'!B96</f>
        <v>Woodland and forest - Upland oakwood</v>
      </c>
    </row>
    <row r="103" spans="1:4" x14ac:dyDescent="0.25">
      <c r="A103" s="658" t="s">
        <v>1281</v>
      </c>
      <c r="D103" s="658" t="str">
        <f>'G-1 All Habitats'!B97</f>
        <v>Woodland and forest - Wet woodland</v>
      </c>
    </row>
    <row r="104" spans="1:4" x14ac:dyDescent="0.25">
      <c r="A104" s="658" t="s">
        <v>1282</v>
      </c>
      <c r="D104" s="658" t="str">
        <f>'G-1 All Habitats'!B98</f>
        <v>Woodland and forest - Wood-pasture and parkland</v>
      </c>
    </row>
    <row r="105" spans="1:4" x14ac:dyDescent="0.25">
      <c r="A105" s="658" t="s">
        <v>1283</v>
      </c>
      <c r="D105" s="658" t="str">
        <f>'G-1 All Habitats'!B99</f>
        <v>Coastal lagoons - Coastal lagoons</v>
      </c>
    </row>
    <row r="106" spans="1:4" x14ac:dyDescent="0.25">
      <c r="A106" s="658" t="s">
        <v>1284</v>
      </c>
      <c r="D106" s="658" t="str">
        <f>'G-1 All Habitats'!B100</f>
        <v>Rocky shore - High energy littoral rock</v>
      </c>
    </row>
    <row r="107" spans="1:4" x14ac:dyDescent="0.25">
      <c r="A107" s="658" t="s">
        <v>1285</v>
      </c>
      <c r="D107" s="658" t="str">
        <f>'G-1 All Habitats'!B101</f>
        <v>Rocky shore - High energy littoral rock - on peat, clay or chalk</v>
      </c>
    </row>
    <row r="108" spans="1:4" x14ac:dyDescent="0.25">
      <c r="A108" s="658" t="s">
        <v>1286</v>
      </c>
      <c r="D108" s="658" t="str">
        <f>'G-1 All Habitats'!B102</f>
        <v>Rocky shore - Moderate energy littoral rock</v>
      </c>
    </row>
    <row r="109" spans="1:4" x14ac:dyDescent="0.25">
      <c r="A109" s="658" t="s">
        <v>1287</v>
      </c>
      <c r="D109" s="658" t="str">
        <f>'G-1 All Habitats'!B103</f>
        <v>Rocky shore - Moderate energy littoral rock - on peat, clay or chalk</v>
      </c>
    </row>
    <row r="110" spans="1:4" x14ac:dyDescent="0.25">
      <c r="A110" s="658" t="s">
        <v>1288</v>
      </c>
      <c r="D110" s="658" t="str">
        <f>'G-1 All Habitats'!B104</f>
        <v>Rocky shore - Low energy littoral rock</v>
      </c>
    </row>
    <row r="111" spans="1:4" x14ac:dyDescent="0.25">
      <c r="A111" s="658" t="s">
        <v>1289</v>
      </c>
      <c r="D111" s="658" t="str">
        <f>'G-1 All Habitats'!B105</f>
        <v>Rocky shore - Low energy littoral rock - on peat, clay or chalk</v>
      </c>
    </row>
    <row r="112" spans="1:4" x14ac:dyDescent="0.25">
      <c r="A112" s="658" t="s">
        <v>1290</v>
      </c>
      <c r="D112" s="658" t="str">
        <f>'G-1 All Habitats'!B106</f>
        <v>Rocky shore - Features of littoral rock</v>
      </c>
    </row>
    <row r="113" spans="1:4" x14ac:dyDescent="0.25">
      <c r="A113" s="658" t="s">
        <v>1291</v>
      </c>
      <c r="D113" s="658" t="str">
        <f>'G-1 All Habitats'!B107</f>
        <v>Rocky shore - Features of littoral rock - on peat, clay or chalk</v>
      </c>
    </row>
    <row r="114" spans="1:4" x14ac:dyDescent="0.25">
      <c r="A114" s="658" t="s">
        <v>1292</v>
      </c>
      <c r="D114" s="658" t="e">
        <f>'G-1 All Habitats'!#REF!</f>
        <v>#REF!</v>
      </c>
    </row>
    <row r="115" spans="1:4" x14ac:dyDescent="0.25">
      <c r="A115" s="658" t="s">
        <v>1293</v>
      </c>
      <c r="D115" s="658" t="e">
        <f>'G-1 All Habitats'!#REF!</f>
        <v>#REF!</v>
      </c>
    </row>
    <row r="116" spans="1:4" x14ac:dyDescent="0.25">
      <c r="A116" s="658" t="s">
        <v>1294</v>
      </c>
      <c r="D116" s="658" t="e">
        <f>'G-1 All Habitats'!#REF!</f>
        <v>#REF!</v>
      </c>
    </row>
    <row r="117" spans="1:4" x14ac:dyDescent="0.25">
      <c r="A117" s="658" t="s">
        <v>1295</v>
      </c>
      <c r="D117" s="658" t="e">
        <f>'G-1 All Habitats'!#REF!</f>
        <v>#REF!</v>
      </c>
    </row>
    <row r="118" spans="1:4" x14ac:dyDescent="0.25">
      <c r="A118" s="658" t="s">
        <v>1296</v>
      </c>
      <c r="D118" s="658" t="str">
        <f>'G-1 All Habitats'!B110</f>
        <v>Intertidal sediment - Littoral coarse sediment</v>
      </c>
    </row>
    <row r="119" spans="1:4" x14ac:dyDescent="0.25">
      <c r="A119" s="658" t="s">
        <v>1297</v>
      </c>
      <c r="D119" s="658" t="e">
        <f>'G-1 All Habitats'!#REF!</f>
        <v>#REF!</v>
      </c>
    </row>
    <row r="120" spans="1:4" x14ac:dyDescent="0.25">
      <c r="A120" s="658" t="s">
        <v>1298</v>
      </c>
      <c r="D120" s="658" t="str">
        <f>'G-1 All Habitats'!B111</f>
        <v>Intertidal sediment - Littoral mud</v>
      </c>
    </row>
    <row r="121" spans="1:4" x14ac:dyDescent="0.25">
      <c r="A121" s="658" t="s">
        <v>1299</v>
      </c>
      <c r="D121" s="658" t="str">
        <f>'G-1 All Habitats'!B112</f>
        <v>Intertidal sediment - Littoral mixed sediments</v>
      </c>
    </row>
    <row r="122" spans="1:4" x14ac:dyDescent="0.25">
      <c r="A122" s="658" t="s">
        <v>1300</v>
      </c>
      <c r="D122" s="658" t="str">
        <f>'G-1 All Habitats'!B108</f>
        <v>Coastal saltmarsh - Saltmarshes and saline reedbeds</v>
      </c>
    </row>
    <row r="123" spans="1:4" x14ac:dyDescent="0.25">
      <c r="A123" s="658" t="s">
        <v>1301</v>
      </c>
      <c r="D123" s="658" t="str">
        <f>'G-1 All Habitats'!B113</f>
        <v>Intertidal sediment - Littoral seagrass</v>
      </c>
    </row>
    <row r="124" spans="1:4" x14ac:dyDescent="0.25">
      <c r="A124" s="658" t="s">
        <v>1302</v>
      </c>
      <c r="D124" s="658" t="str">
        <f>'G-1 All Habitats'!B114</f>
        <v>Intertidal sediment - Littoral seagrass on peat, clay or chalk</v>
      </c>
    </row>
    <row r="125" spans="1:4" x14ac:dyDescent="0.25">
      <c r="A125" s="658" t="s">
        <v>1303</v>
      </c>
      <c r="D125" s="658" t="str">
        <f>'G-1 All Habitats'!B116</f>
        <v>Intertidal sediment - Littoral biogenic reefs - Sabellaria</v>
      </c>
    </row>
    <row r="126" spans="1:4" x14ac:dyDescent="0.25">
      <c r="A126" s="658" t="s">
        <v>1304</v>
      </c>
      <c r="D126" s="658" t="e">
        <f>'G-1 All Habitats'!#REF!</f>
        <v>#REF!</v>
      </c>
    </row>
    <row r="127" spans="1:4" x14ac:dyDescent="0.25">
      <c r="A127" s="658" t="s">
        <v>1305</v>
      </c>
      <c r="D127" s="658" t="str">
        <f>'G-1 All Habitats'!B117</f>
        <v>Intertidal sediment - Features of littoral sediment</v>
      </c>
    </row>
    <row r="128" spans="1:4" x14ac:dyDescent="0.25">
      <c r="A128" s="658" t="s">
        <v>1306</v>
      </c>
      <c r="D128" s="658" t="str">
        <f>'G-1 All Habitats'!B118</f>
        <v>Intertidal sediment - Artificial littoral coarse sediment</v>
      </c>
    </row>
    <row r="129" spans="1:4" x14ac:dyDescent="0.25">
      <c r="A129" s="658" t="s">
        <v>1307</v>
      </c>
      <c r="D129" s="658" t="e">
        <f>'G-1 All Habitats'!#REF!</f>
        <v>#REF!</v>
      </c>
    </row>
    <row r="130" spans="1:4" x14ac:dyDescent="0.25">
      <c r="A130" s="658" t="s">
        <v>1308</v>
      </c>
      <c r="D130" s="658" t="str">
        <f>'G-1 All Habitats'!B121</f>
        <v>Intertidal sediment - Artificial littoral muddy sand</v>
      </c>
    </row>
    <row r="131" spans="1:4" x14ac:dyDescent="0.25">
      <c r="A131" s="658" t="s">
        <v>1309</v>
      </c>
      <c r="D131" s="658" t="str">
        <f>'G-1 All Habitats'!B122</f>
        <v>Intertidal sediment - Artificial littoral mixed sediments</v>
      </c>
    </row>
    <row r="132" spans="1:4" x14ac:dyDescent="0.25">
      <c r="A132" s="658" t="s">
        <v>1310</v>
      </c>
      <c r="D132" s="658" t="str">
        <f>'G-1 All Habitats'!B123</f>
        <v>Intertidal sediment - Artificial littoral seagrass</v>
      </c>
    </row>
    <row r="133" spans="1:4" x14ac:dyDescent="0.25">
      <c r="A133" s="658" t="s">
        <v>1311</v>
      </c>
      <c r="D133" s="658" t="str">
        <f>'G-1 All Habitats'!B124</f>
        <v>Intertidal sediment - Artificial littoral biogenic reefs</v>
      </c>
    </row>
    <row r="134" spans="1:4" x14ac:dyDescent="0.25">
      <c r="A134" s="658" t="s">
        <v>1312</v>
      </c>
      <c r="D134" s="658" t="e">
        <f>'G-1 All Habitats'!#REF!</f>
        <v>#REF!</v>
      </c>
    </row>
    <row r="135" spans="1:4" x14ac:dyDescent="0.25">
      <c r="A135" s="658" t="s">
        <v>1313</v>
      </c>
      <c r="D135" s="658" t="e">
        <f>'G-1 All Habitats'!#REF!</f>
        <v>#REF!</v>
      </c>
    </row>
    <row r="136" spans="1:4" x14ac:dyDescent="0.25">
      <c r="A136" s="658" t="s">
        <v>1314</v>
      </c>
      <c r="D136" s="658">
        <f>'G-1 All Habitats'!B130</f>
        <v>0</v>
      </c>
    </row>
    <row r="137" spans="1:4" x14ac:dyDescent="0.25">
      <c r="A137" s="658" t="s">
        <v>1315</v>
      </c>
      <c r="D137" s="658">
        <f>'G-1 All Habitats'!B131</f>
        <v>0</v>
      </c>
    </row>
    <row r="138" spans="1:4" x14ac:dyDescent="0.25">
      <c r="A138" s="658" t="s">
        <v>1316</v>
      </c>
      <c r="D138" s="658">
        <f>'G-1 All Habitats'!B132</f>
        <v>0</v>
      </c>
    </row>
    <row r="139" spans="1:4" x14ac:dyDescent="0.25">
      <c r="A139" s="658" t="s">
        <v>1317</v>
      </c>
      <c r="D139" s="658">
        <f>'G-1 All Habitats'!B133</f>
        <v>0</v>
      </c>
    </row>
    <row r="140" spans="1:4" x14ac:dyDescent="0.25">
      <c r="A140" s="658" t="s">
        <v>1318</v>
      </c>
      <c r="D140" s="658">
        <f>'G-1 All Habitats'!B134</f>
        <v>0</v>
      </c>
    </row>
    <row r="141" spans="1:4" x14ac:dyDescent="0.25">
      <c r="A141" s="658" t="s">
        <v>1319</v>
      </c>
      <c r="D141" s="658">
        <f>'G-1 All Habitats'!B135</f>
        <v>0</v>
      </c>
    </row>
    <row r="142" spans="1:4" x14ac:dyDescent="0.25">
      <c r="A142" s="658" t="s">
        <v>1320</v>
      </c>
      <c r="D142" s="658">
        <f>'G-1 All Habitats'!B136</f>
        <v>0</v>
      </c>
    </row>
    <row r="143" spans="1:4" x14ac:dyDescent="0.25">
      <c r="A143" s="658" t="s">
        <v>1321</v>
      </c>
      <c r="D143" s="658">
        <f>'G-1 All Habitats'!B137</f>
        <v>0</v>
      </c>
    </row>
    <row r="144" spans="1:4" x14ac:dyDescent="0.25">
      <c r="A144" s="658" t="s">
        <v>1322</v>
      </c>
      <c r="D144" s="658">
        <f>'G-1 All Habitats'!B138</f>
        <v>0</v>
      </c>
    </row>
    <row r="145" spans="1:4" x14ac:dyDescent="0.25">
      <c r="A145" s="658" t="s">
        <v>1323</v>
      </c>
      <c r="D145" s="658">
        <f>'G-1 All Habitats'!B139</f>
        <v>0</v>
      </c>
    </row>
    <row r="146" spans="1:4" x14ac:dyDescent="0.25">
      <c r="A146" s="658" t="s">
        <v>1324</v>
      </c>
      <c r="D146" s="658">
        <f>'G-1 All Habitats'!B140</f>
        <v>0</v>
      </c>
    </row>
    <row r="147" spans="1:4" x14ac:dyDescent="0.25">
      <c r="A147" s="658" t="s">
        <v>1325</v>
      </c>
      <c r="D147" s="658">
        <f>'G-1 All Habitats'!B141</f>
        <v>0</v>
      </c>
    </row>
    <row r="148" spans="1:4" x14ac:dyDescent="0.25">
      <c r="A148" s="658" t="s">
        <v>1326</v>
      </c>
      <c r="D148" s="658">
        <f>'G-1 All Habitats'!B142</f>
        <v>0</v>
      </c>
    </row>
    <row r="149" spans="1:4" x14ac:dyDescent="0.25">
      <c r="A149" s="658" t="s">
        <v>1327</v>
      </c>
      <c r="D149" s="658">
        <f>'G-1 All Habitats'!B143</f>
        <v>0</v>
      </c>
    </row>
    <row r="150" spans="1:4" x14ac:dyDescent="0.25">
      <c r="A150" s="658" t="s">
        <v>1328</v>
      </c>
      <c r="D150" s="658">
        <f>'G-1 All Habitats'!B144</f>
        <v>0</v>
      </c>
    </row>
    <row r="151" spans="1:4" x14ac:dyDescent="0.25">
      <c r="A151" s="658" t="s">
        <v>1329</v>
      </c>
      <c r="D151" s="658">
        <f>'G-1 All Habitats'!B145</f>
        <v>0</v>
      </c>
    </row>
    <row r="152" spans="1:4" x14ac:dyDescent="0.25">
      <c r="A152" s="658" t="s">
        <v>1330</v>
      </c>
      <c r="D152" s="658">
        <f>'G-1 All Habitats'!B146</f>
        <v>0</v>
      </c>
    </row>
    <row r="153" spans="1:4" x14ac:dyDescent="0.25">
      <c r="A153" s="658" t="s">
        <v>1331</v>
      </c>
      <c r="D153" s="658">
        <f>'G-1 All Habitats'!B147</f>
        <v>0</v>
      </c>
    </row>
    <row r="154" spans="1:4" x14ac:dyDescent="0.25">
      <c r="A154" s="658" t="s">
        <v>1332</v>
      </c>
      <c r="D154" s="658">
        <f>'G-1 All Habitats'!B148</f>
        <v>0</v>
      </c>
    </row>
    <row r="155" spans="1:4" x14ac:dyDescent="0.25">
      <c r="A155" s="658" t="s">
        <v>1333</v>
      </c>
      <c r="D155" s="658">
        <f>'G-1 All Habitats'!B149</f>
        <v>0</v>
      </c>
    </row>
    <row r="156" spans="1:4" x14ac:dyDescent="0.25">
      <c r="A156" s="658" t="s">
        <v>1334</v>
      </c>
      <c r="D156" s="658">
        <f>'G-1 All Habitats'!B150</f>
        <v>0</v>
      </c>
    </row>
    <row r="157" spans="1:4" x14ac:dyDescent="0.25">
      <c r="A157" s="658" t="s">
        <v>1335</v>
      </c>
    </row>
    <row r="158" spans="1:4" x14ac:dyDescent="0.25">
      <c r="A158" s="658" t="s">
        <v>1336</v>
      </c>
    </row>
    <row r="159" spans="1:4" x14ac:dyDescent="0.25">
      <c r="A159" s="658" t="s">
        <v>1337</v>
      </c>
    </row>
    <row r="160" spans="1:4" x14ac:dyDescent="0.25">
      <c r="A160" s="658" t="s">
        <v>1338</v>
      </c>
    </row>
    <row r="161" spans="1:1" x14ac:dyDescent="0.25">
      <c r="A161" s="658" t="s">
        <v>1339</v>
      </c>
    </row>
    <row r="162" spans="1:1" x14ac:dyDescent="0.25">
      <c r="A162" s="658" t="s">
        <v>1340</v>
      </c>
    </row>
    <row r="163" spans="1:1" x14ac:dyDescent="0.25">
      <c r="A163" s="658" t="s">
        <v>1341</v>
      </c>
    </row>
    <row r="164" spans="1:1" x14ac:dyDescent="0.25">
      <c r="A164" s="658" t="s">
        <v>1342</v>
      </c>
    </row>
    <row r="165" spans="1:1" x14ac:dyDescent="0.25">
      <c r="A165" s="658" t="s">
        <v>1343</v>
      </c>
    </row>
    <row r="166" spans="1:1" x14ac:dyDescent="0.25">
      <c r="A166" s="658" t="s">
        <v>1344</v>
      </c>
    </row>
    <row r="167" spans="1:1" x14ac:dyDescent="0.25">
      <c r="A167" s="658" t="s">
        <v>1345</v>
      </c>
    </row>
    <row r="168" spans="1:1" x14ac:dyDescent="0.25">
      <c r="A168" s="658" t="s">
        <v>1346</v>
      </c>
    </row>
    <row r="169" spans="1:1" x14ac:dyDescent="0.25">
      <c r="A169" s="658" t="s">
        <v>1347</v>
      </c>
    </row>
    <row r="170" spans="1:1" x14ac:dyDescent="0.25">
      <c r="A170" s="658" t="s">
        <v>1348</v>
      </c>
    </row>
    <row r="171" spans="1:1" x14ac:dyDescent="0.25">
      <c r="A171" s="658" t="s">
        <v>1349</v>
      </c>
    </row>
    <row r="172" spans="1:1" x14ac:dyDescent="0.25">
      <c r="A172" s="658" t="s">
        <v>1350</v>
      </c>
    </row>
    <row r="173" spans="1:1" x14ac:dyDescent="0.25">
      <c r="A173" s="658" t="s">
        <v>1351</v>
      </c>
    </row>
    <row r="174" spans="1:1" x14ac:dyDescent="0.25">
      <c r="A174" s="658" t="s">
        <v>1352</v>
      </c>
    </row>
    <row r="175" spans="1:1" x14ac:dyDescent="0.25">
      <c r="A175" s="658" t="s">
        <v>1353</v>
      </c>
    </row>
    <row r="176" spans="1:1" x14ac:dyDescent="0.25">
      <c r="A176" s="658" t="s">
        <v>1354</v>
      </c>
    </row>
    <row r="177" spans="1:1" x14ac:dyDescent="0.25">
      <c r="A177" s="658" t="s">
        <v>1355</v>
      </c>
    </row>
    <row r="178" spans="1:1" x14ac:dyDescent="0.25">
      <c r="A178" s="658" t="s">
        <v>1356</v>
      </c>
    </row>
    <row r="179" spans="1:1" x14ac:dyDescent="0.25">
      <c r="A179" s="658" t="s">
        <v>1357</v>
      </c>
    </row>
    <row r="180" spans="1:1" x14ac:dyDescent="0.25">
      <c r="A180" s="658" t="s">
        <v>1358</v>
      </c>
    </row>
    <row r="181" spans="1:1" x14ac:dyDescent="0.25">
      <c r="A181" s="658" t="s">
        <v>1359</v>
      </c>
    </row>
    <row r="182" spans="1:1" x14ac:dyDescent="0.25">
      <c r="A182" s="658" t="s">
        <v>1360</v>
      </c>
    </row>
    <row r="183" spans="1:1" x14ac:dyDescent="0.25">
      <c r="A183" s="658" t="s">
        <v>1361</v>
      </c>
    </row>
    <row r="184" spans="1:1" x14ac:dyDescent="0.25">
      <c r="A184" s="658" t="s">
        <v>1362</v>
      </c>
    </row>
    <row r="185" spans="1:1" x14ac:dyDescent="0.25">
      <c r="A185" s="658" t="s">
        <v>1363</v>
      </c>
    </row>
    <row r="186" spans="1:1" x14ac:dyDescent="0.25">
      <c r="A186" s="658" t="s">
        <v>1364</v>
      </c>
    </row>
    <row r="187" spans="1:1" x14ac:dyDescent="0.25">
      <c r="A187" s="658" t="s">
        <v>1365</v>
      </c>
    </row>
    <row r="188" spans="1:1" x14ac:dyDescent="0.25">
      <c r="A188" s="658" t="s">
        <v>1366</v>
      </c>
    </row>
    <row r="189" spans="1:1" x14ac:dyDescent="0.25">
      <c r="A189" s="658" t="s">
        <v>1367</v>
      </c>
    </row>
    <row r="190" spans="1:1" x14ac:dyDescent="0.25">
      <c r="A190" s="658" t="s">
        <v>1368</v>
      </c>
    </row>
    <row r="191" spans="1:1" x14ac:dyDescent="0.25">
      <c r="A191" s="658" t="s">
        <v>1369</v>
      </c>
    </row>
    <row r="192" spans="1:1" x14ac:dyDescent="0.25">
      <c r="A192" s="658" t="s">
        <v>1370</v>
      </c>
    </row>
    <row r="193" spans="1:1" x14ac:dyDescent="0.25">
      <c r="A193" s="658" t="s">
        <v>1371</v>
      </c>
    </row>
    <row r="194" spans="1:1" x14ac:dyDescent="0.25">
      <c r="A194" s="658" t="s">
        <v>1372</v>
      </c>
    </row>
    <row r="195" spans="1:1" x14ac:dyDescent="0.25">
      <c r="A195" s="658" t="s">
        <v>1373</v>
      </c>
    </row>
    <row r="196" spans="1:1" x14ac:dyDescent="0.25">
      <c r="A196" s="658" t="s">
        <v>1374</v>
      </c>
    </row>
    <row r="197" spans="1:1" x14ac:dyDescent="0.25">
      <c r="A197" s="658" t="s">
        <v>1375</v>
      </c>
    </row>
    <row r="198" spans="1:1" x14ac:dyDescent="0.25">
      <c r="A198" s="658" t="s">
        <v>1376</v>
      </c>
    </row>
    <row r="199" spans="1:1" x14ac:dyDescent="0.25">
      <c r="A199" s="658" t="s">
        <v>1377</v>
      </c>
    </row>
    <row r="200" spans="1:1" x14ac:dyDescent="0.25">
      <c r="A200" s="658" t="s">
        <v>1378</v>
      </c>
    </row>
    <row r="201" spans="1:1" x14ac:dyDescent="0.25">
      <c r="A201" s="658" t="s">
        <v>1379</v>
      </c>
    </row>
    <row r="202" spans="1:1" x14ac:dyDescent="0.25">
      <c r="A202" s="658" t="s">
        <v>1380</v>
      </c>
    </row>
    <row r="203" spans="1:1" x14ac:dyDescent="0.25">
      <c r="A203" s="658" t="s">
        <v>1381</v>
      </c>
    </row>
    <row r="204" spans="1:1" x14ac:dyDescent="0.25">
      <c r="A204" s="658" t="s">
        <v>1382</v>
      </c>
    </row>
    <row r="205" spans="1:1" x14ac:dyDescent="0.25">
      <c r="A205" s="658" t="s">
        <v>1383</v>
      </c>
    </row>
    <row r="206" spans="1:1" x14ac:dyDescent="0.25">
      <c r="A206" s="658" t="s">
        <v>1384</v>
      </c>
    </row>
    <row r="207" spans="1:1" x14ac:dyDescent="0.25">
      <c r="A207" s="658" t="s">
        <v>1385</v>
      </c>
    </row>
    <row r="208" spans="1:1" x14ac:dyDescent="0.25">
      <c r="A208" s="658" t="s">
        <v>1386</v>
      </c>
    </row>
    <row r="209" spans="1:1" x14ac:dyDescent="0.25">
      <c r="A209" s="658" t="s">
        <v>1387</v>
      </c>
    </row>
    <row r="210" spans="1:1" x14ac:dyDescent="0.25">
      <c r="A210" s="658" t="s">
        <v>1388</v>
      </c>
    </row>
    <row r="211" spans="1:1" x14ac:dyDescent="0.25">
      <c r="A211" s="658" t="s">
        <v>1389</v>
      </c>
    </row>
    <row r="212" spans="1:1" x14ac:dyDescent="0.25">
      <c r="A212" s="658" t="s">
        <v>1390</v>
      </c>
    </row>
    <row r="213" spans="1:1" x14ac:dyDescent="0.25">
      <c r="A213" s="658" t="s">
        <v>1391</v>
      </c>
    </row>
    <row r="214" spans="1:1" x14ac:dyDescent="0.25">
      <c r="A214" s="658" t="s">
        <v>1392</v>
      </c>
    </row>
    <row r="215" spans="1:1" x14ac:dyDescent="0.25">
      <c r="A215" s="658" t="s">
        <v>1393</v>
      </c>
    </row>
    <row r="216" spans="1:1" x14ac:dyDescent="0.25">
      <c r="A216" s="658" t="s">
        <v>1394</v>
      </c>
    </row>
    <row r="217" spans="1:1" x14ac:dyDescent="0.25">
      <c r="A217" s="658" t="s">
        <v>1395</v>
      </c>
    </row>
    <row r="218" spans="1:1" x14ac:dyDescent="0.25">
      <c r="A218" s="658" t="s">
        <v>1396</v>
      </c>
    </row>
    <row r="219" spans="1:1" x14ac:dyDescent="0.25">
      <c r="A219" s="658" t="s">
        <v>1397</v>
      </c>
    </row>
    <row r="220" spans="1:1" x14ac:dyDescent="0.25">
      <c r="A220" s="658" t="s">
        <v>1398</v>
      </c>
    </row>
    <row r="221" spans="1:1" x14ac:dyDescent="0.25">
      <c r="A221" s="658" t="s">
        <v>1399</v>
      </c>
    </row>
    <row r="222" spans="1:1" x14ac:dyDescent="0.25">
      <c r="A222" s="658" t="s">
        <v>1400</v>
      </c>
    </row>
    <row r="223" spans="1:1" x14ac:dyDescent="0.25">
      <c r="A223" s="658" t="s">
        <v>1401</v>
      </c>
    </row>
    <row r="224" spans="1:1" x14ac:dyDescent="0.25">
      <c r="A224" s="658" t="s">
        <v>1402</v>
      </c>
    </row>
    <row r="225" spans="1:1" x14ac:dyDescent="0.25">
      <c r="A225" s="658" t="s">
        <v>1403</v>
      </c>
    </row>
    <row r="226" spans="1:1" x14ac:dyDescent="0.25">
      <c r="A226" s="658" t="s">
        <v>1404</v>
      </c>
    </row>
    <row r="227" spans="1:1" x14ac:dyDescent="0.25">
      <c r="A227" s="658" t="s">
        <v>1405</v>
      </c>
    </row>
    <row r="228" spans="1:1" x14ac:dyDescent="0.25">
      <c r="A228" s="658" t="s">
        <v>1406</v>
      </c>
    </row>
    <row r="229" spans="1:1" x14ac:dyDescent="0.25">
      <c r="A229" s="658" t="s">
        <v>1407</v>
      </c>
    </row>
    <row r="230" spans="1:1" x14ac:dyDescent="0.25">
      <c r="A230" s="658" t="s">
        <v>1408</v>
      </c>
    </row>
    <row r="231" spans="1:1" x14ac:dyDescent="0.25">
      <c r="A231" s="658" t="s">
        <v>1409</v>
      </c>
    </row>
    <row r="232" spans="1:1" x14ac:dyDescent="0.25">
      <c r="A232" s="658" t="s">
        <v>1410</v>
      </c>
    </row>
    <row r="233" spans="1:1" x14ac:dyDescent="0.25">
      <c r="A233" s="658" t="s">
        <v>1411</v>
      </c>
    </row>
    <row r="234" spans="1:1" x14ac:dyDescent="0.25">
      <c r="A234" s="658" t="s">
        <v>1412</v>
      </c>
    </row>
    <row r="235" spans="1:1" x14ac:dyDescent="0.25">
      <c r="A235" s="658" t="s">
        <v>1413</v>
      </c>
    </row>
    <row r="236" spans="1:1" x14ac:dyDescent="0.25">
      <c r="A236" s="658" t="s">
        <v>1414</v>
      </c>
    </row>
    <row r="237" spans="1:1" x14ac:dyDescent="0.25">
      <c r="A237" s="658" t="s">
        <v>1415</v>
      </c>
    </row>
    <row r="238" spans="1:1" x14ac:dyDescent="0.25">
      <c r="A238" s="658" t="s">
        <v>1416</v>
      </c>
    </row>
    <row r="239" spans="1:1" x14ac:dyDescent="0.25">
      <c r="A239" s="658" t="s">
        <v>1417</v>
      </c>
    </row>
    <row r="240" spans="1:1" x14ac:dyDescent="0.25">
      <c r="A240" s="658" t="s">
        <v>1418</v>
      </c>
    </row>
    <row r="241" spans="1:1" x14ac:dyDescent="0.25">
      <c r="A241" s="658" t="s">
        <v>1419</v>
      </c>
    </row>
    <row r="242" spans="1:1" x14ac:dyDescent="0.25">
      <c r="A242" s="658" t="s">
        <v>1420</v>
      </c>
    </row>
    <row r="243" spans="1:1" x14ac:dyDescent="0.25">
      <c r="A243" s="658" t="s">
        <v>1421</v>
      </c>
    </row>
    <row r="244" spans="1:1" x14ac:dyDescent="0.25">
      <c r="A244" s="658" t="s">
        <v>1422</v>
      </c>
    </row>
    <row r="245" spans="1:1" x14ac:dyDescent="0.25">
      <c r="A245" s="658" t="s">
        <v>1423</v>
      </c>
    </row>
    <row r="246" spans="1:1" x14ac:dyDescent="0.25">
      <c r="A246" s="658" t="s">
        <v>1424</v>
      </c>
    </row>
    <row r="247" spans="1:1" x14ac:dyDescent="0.25">
      <c r="A247" s="658" t="s">
        <v>1425</v>
      </c>
    </row>
    <row r="248" spans="1:1" x14ac:dyDescent="0.25">
      <c r="A248" s="658" t="s">
        <v>1426</v>
      </c>
    </row>
    <row r="249" spans="1:1" x14ac:dyDescent="0.25">
      <c r="A249" s="658" t="s">
        <v>1427</v>
      </c>
    </row>
    <row r="250" spans="1:1" x14ac:dyDescent="0.25">
      <c r="A250" s="658" t="s">
        <v>1428</v>
      </c>
    </row>
    <row r="251" spans="1:1" x14ac:dyDescent="0.25">
      <c r="A251" s="658" t="s">
        <v>1429</v>
      </c>
    </row>
    <row r="252" spans="1:1" x14ac:dyDescent="0.25">
      <c r="A252" s="658" t="s">
        <v>1430</v>
      </c>
    </row>
    <row r="253" spans="1:1" x14ac:dyDescent="0.25">
      <c r="A253" s="658" t="s">
        <v>1431</v>
      </c>
    </row>
    <row r="254" spans="1:1" x14ac:dyDescent="0.25">
      <c r="A254" s="658" t="s">
        <v>1432</v>
      </c>
    </row>
    <row r="255" spans="1:1" x14ac:dyDescent="0.25">
      <c r="A255" s="658" t="s">
        <v>1433</v>
      </c>
    </row>
    <row r="256" spans="1:1" x14ac:dyDescent="0.25">
      <c r="A256" s="658" t="s">
        <v>1434</v>
      </c>
    </row>
    <row r="257" spans="1:1" x14ac:dyDescent="0.25">
      <c r="A257" s="658" t="s">
        <v>1435</v>
      </c>
    </row>
    <row r="258" spans="1:1" x14ac:dyDescent="0.25">
      <c r="A258" s="658" t="s">
        <v>1436</v>
      </c>
    </row>
    <row r="259" spans="1:1" x14ac:dyDescent="0.25">
      <c r="A259" s="658" t="s">
        <v>1437</v>
      </c>
    </row>
    <row r="260" spans="1:1" x14ac:dyDescent="0.25">
      <c r="A260" s="658" t="s">
        <v>1438</v>
      </c>
    </row>
    <row r="261" spans="1:1" x14ac:dyDescent="0.25">
      <c r="A261" s="658" t="s">
        <v>1439</v>
      </c>
    </row>
    <row r="262" spans="1:1" x14ac:dyDescent="0.25">
      <c r="A262" s="658" t="s">
        <v>1440</v>
      </c>
    </row>
    <row r="263" spans="1:1" x14ac:dyDescent="0.25">
      <c r="A263" s="658" t="s">
        <v>1441</v>
      </c>
    </row>
    <row r="264" spans="1:1" x14ac:dyDescent="0.25">
      <c r="A264" s="658" t="s">
        <v>1442</v>
      </c>
    </row>
    <row r="265" spans="1:1" x14ac:dyDescent="0.25">
      <c r="A265" s="658" t="s">
        <v>1443</v>
      </c>
    </row>
    <row r="266" spans="1:1" x14ac:dyDescent="0.25">
      <c r="A266" s="658" t="s">
        <v>1444</v>
      </c>
    </row>
    <row r="267" spans="1:1" x14ac:dyDescent="0.25">
      <c r="A267" s="658" t="s">
        <v>1445</v>
      </c>
    </row>
    <row r="268" spans="1:1" x14ac:dyDescent="0.25">
      <c r="A268" s="658" t="s">
        <v>1446</v>
      </c>
    </row>
    <row r="269" spans="1:1" x14ac:dyDescent="0.25">
      <c r="A269" s="658" t="s">
        <v>1447</v>
      </c>
    </row>
    <row r="270" spans="1:1" x14ac:dyDescent="0.25">
      <c r="A270" s="658" t="s">
        <v>1448</v>
      </c>
    </row>
    <row r="271" spans="1:1" x14ac:dyDescent="0.25">
      <c r="A271" s="658" t="s">
        <v>1449</v>
      </c>
    </row>
    <row r="272" spans="1:1" x14ac:dyDescent="0.25">
      <c r="A272" s="658" t="s">
        <v>1450</v>
      </c>
    </row>
    <row r="273" spans="1:1" x14ac:dyDescent="0.25">
      <c r="A273" s="658" t="s">
        <v>1451</v>
      </c>
    </row>
    <row r="274" spans="1:1" x14ac:dyDescent="0.25">
      <c r="A274" s="658" t="s">
        <v>1452</v>
      </c>
    </row>
    <row r="275" spans="1:1" x14ac:dyDescent="0.25">
      <c r="A275" s="658" t="s">
        <v>1453</v>
      </c>
    </row>
    <row r="276" spans="1:1" x14ac:dyDescent="0.25">
      <c r="A276" s="658" t="s">
        <v>1454</v>
      </c>
    </row>
    <row r="277" spans="1:1" x14ac:dyDescent="0.25">
      <c r="A277" s="658" t="s">
        <v>1455</v>
      </c>
    </row>
    <row r="278" spans="1:1" x14ac:dyDescent="0.25">
      <c r="A278" s="658" t="s">
        <v>1456</v>
      </c>
    </row>
    <row r="279" spans="1:1" x14ac:dyDescent="0.25">
      <c r="A279" s="658" t="s">
        <v>1457</v>
      </c>
    </row>
    <row r="280" spans="1:1" x14ac:dyDescent="0.25">
      <c r="A280" s="658" t="s">
        <v>1458</v>
      </c>
    </row>
    <row r="281" spans="1:1" x14ac:dyDescent="0.25">
      <c r="A281" s="658" t="s">
        <v>1459</v>
      </c>
    </row>
    <row r="282" spans="1:1" x14ac:dyDescent="0.25">
      <c r="A282" s="658" t="s">
        <v>1460</v>
      </c>
    </row>
    <row r="283" spans="1:1" x14ac:dyDescent="0.25">
      <c r="A283" s="658" t="s">
        <v>1461</v>
      </c>
    </row>
    <row r="284" spans="1:1" x14ac:dyDescent="0.25">
      <c r="A284" s="658" t="s">
        <v>1462</v>
      </c>
    </row>
    <row r="285" spans="1:1" x14ac:dyDescent="0.25">
      <c r="A285" s="658" t="s">
        <v>1463</v>
      </c>
    </row>
    <row r="286" spans="1:1" x14ac:dyDescent="0.25">
      <c r="A286" s="658" t="s">
        <v>1464</v>
      </c>
    </row>
    <row r="287" spans="1:1" x14ac:dyDescent="0.25">
      <c r="A287" s="658" t="s">
        <v>1465</v>
      </c>
    </row>
    <row r="288" spans="1:1" x14ac:dyDescent="0.25">
      <c r="A288" s="658" t="s">
        <v>1466</v>
      </c>
    </row>
    <row r="289" spans="1:1" x14ac:dyDescent="0.25">
      <c r="A289" s="658" t="s">
        <v>1467</v>
      </c>
    </row>
    <row r="290" spans="1:1" x14ac:dyDescent="0.25">
      <c r="A290" s="658" t="s">
        <v>1468</v>
      </c>
    </row>
    <row r="291" spans="1:1" x14ac:dyDescent="0.25">
      <c r="A291" s="658" t="s">
        <v>1469</v>
      </c>
    </row>
    <row r="292" spans="1:1" x14ac:dyDescent="0.25">
      <c r="A292" s="658" t="s">
        <v>1470</v>
      </c>
    </row>
    <row r="293" spans="1:1" x14ac:dyDescent="0.25">
      <c r="A293" s="658" t="s">
        <v>1471</v>
      </c>
    </row>
    <row r="294" spans="1:1" x14ac:dyDescent="0.25">
      <c r="A294" s="658" t="s">
        <v>1472</v>
      </c>
    </row>
    <row r="295" spans="1:1" x14ac:dyDescent="0.25">
      <c r="A295" s="658" t="s">
        <v>1473</v>
      </c>
    </row>
    <row r="296" spans="1:1" x14ac:dyDescent="0.25">
      <c r="A296" s="658" t="s">
        <v>1474</v>
      </c>
    </row>
    <row r="297" spans="1:1" x14ac:dyDescent="0.25">
      <c r="A297" s="658" t="s">
        <v>1475</v>
      </c>
    </row>
    <row r="298" spans="1:1" x14ac:dyDescent="0.25">
      <c r="A298" s="658" t="s">
        <v>1476</v>
      </c>
    </row>
    <row r="299" spans="1:1" x14ac:dyDescent="0.25">
      <c r="A299" s="658" t="s">
        <v>1477</v>
      </c>
    </row>
    <row r="300" spans="1:1" x14ac:dyDescent="0.25">
      <c r="A300" s="658" t="s">
        <v>1478</v>
      </c>
    </row>
    <row r="301" spans="1:1" x14ac:dyDescent="0.25">
      <c r="A301" s="658" t="s">
        <v>1479</v>
      </c>
    </row>
    <row r="302" spans="1:1" x14ac:dyDescent="0.25">
      <c r="A302" s="658" t="s">
        <v>1480</v>
      </c>
    </row>
    <row r="303" spans="1:1" x14ac:dyDescent="0.25">
      <c r="A303" s="658" t="s">
        <v>1481</v>
      </c>
    </row>
    <row r="304" spans="1:1" x14ac:dyDescent="0.25">
      <c r="A304" s="658" t="s">
        <v>1482</v>
      </c>
    </row>
    <row r="305" spans="1:1" x14ac:dyDescent="0.25">
      <c r="A305" s="658" t="s">
        <v>1483</v>
      </c>
    </row>
    <row r="306" spans="1:1" x14ac:dyDescent="0.25">
      <c r="A306" s="658" t="s">
        <v>1484</v>
      </c>
    </row>
    <row r="307" spans="1:1" x14ac:dyDescent="0.25">
      <c r="A307" s="658" t="s">
        <v>1485</v>
      </c>
    </row>
    <row r="308" spans="1:1" x14ac:dyDescent="0.25">
      <c r="A308" s="658" t="s">
        <v>1486</v>
      </c>
    </row>
    <row r="309" spans="1:1" x14ac:dyDescent="0.25">
      <c r="A309" s="658" t="s">
        <v>1487</v>
      </c>
    </row>
    <row r="310" spans="1:1" x14ac:dyDescent="0.25">
      <c r="A310" s="658" t="s">
        <v>1488</v>
      </c>
    </row>
    <row r="311" spans="1:1" x14ac:dyDescent="0.25">
      <c r="A311" s="658" t="s">
        <v>1489</v>
      </c>
    </row>
    <row r="312" spans="1:1" x14ac:dyDescent="0.25">
      <c r="A312" s="658" t="s">
        <v>1490</v>
      </c>
    </row>
    <row r="313" spans="1:1" x14ac:dyDescent="0.25">
      <c r="A313" s="658" t="s">
        <v>1491</v>
      </c>
    </row>
    <row r="314" spans="1:1" x14ac:dyDescent="0.25">
      <c r="A314" s="658" t="s">
        <v>1492</v>
      </c>
    </row>
    <row r="315" spans="1:1" x14ac:dyDescent="0.25">
      <c r="A315" s="658" t="s">
        <v>1493</v>
      </c>
    </row>
    <row r="316" spans="1:1" x14ac:dyDescent="0.25">
      <c r="A316" s="658" t="s">
        <v>1494</v>
      </c>
    </row>
    <row r="317" spans="1:1" x14ac:dyDescent="0.25">
      <c r="A317" s="658" t="s">
        <v>1495</v>
      </c>
    </row>
    <row r="318" spans="1:1" x14ac:dyDescent="0.25">
      <c r="A318" s="658" t="s">
        <v>1496</v>
      </c>
    </row>
    <row r="319" spans="1:1" x14ac:dyDescent="0.25">
      <c r="A319" s="658" t="s">
        <v>1497</v>
      </c>
    </row>
    <row r="320" spans="1:1" x14ac:dyDescent="0.25">
      <c r="A320" s="658" t="s">
        <v>1498</v>
      </c>
    </row>
    <row r="321" spans="1:1" x14ac:dyDescent="0.25">
      <c r="A321" s="658" t="s">
        <v>1499</v>
      </c>
    </row>
    <row r="322" spans="1:1" x14ac:dyDescent="0.25">
      <c r="A322" s="658" t="s">
        <v>1500</v>
      </c>
    </row>
    <row r="323" spans="1:1" x14ac:dyDescent="0.25">
      <c r="A323" s="658" t="s">
        <v>1501</v>
      </c>
    </row>
    <row r="324" spans="1:1" x14ac:dyDescent="0.25">
      <c r="A324" s="658" t="s">
        <v>1502</v>
      </c>
    </row>
    <row r="325" spans="1:1" x14ac:dyDescent="0.25">
      <c r="A325" s="658" t="s">
        <v>1503</v>
      </c>
    </row>
    <row r="326" spans="1:1" x14ac:dyDescent="0.25">
      <c r="A326" s="658" t="s">
        <v>1504</v>
      </c>
    </row>
    <row r="327" spans="1:1" x14ac:dyDescent="0.25">
      <c r="A327" s="658" t="s">
        <v>1505</v>
      </c>
    </row>
    <row r="328" spans="1:1" x14ac:dyDescent="0.25">
      <c r="A328" s="658" t="s">
        <v>1506</v>
      </c>
    </row>
    <row r="329" spans="1:1" x14ac:dyDescent="0.25">
      <c r="A329" s="658" t="s">
        <v>1507</v>
      </c>
    </row>
    <row r="330" spans="1:1" x14ac:dyDescent="0.25">
      <c r="A330" s="658" t="s">
        <v>1508</v>
      </c>
    </row>
    <row r="331" spans="1:1" x14ac:dyDescent="0.25">
      <c r="A331" s="658" t="s">
        <v>1509</v>
      </c>
    </row>
    <row r="332" spans="1:1" x14ac:dyDescent="0.25">
      <c r="A332" s="658" t="s">
        <v>1510</v>
      </c>
    </row>
    <row r="333" spans="1:1" x14ac:dyDescent="0.25">
      <c r="A333" s="658" t="s">
        <v>1511</v>
      </c>
    </row>
    <row r="334" spans="1:1" x14ac:dyDescent="0.25">
      <c r="A334" s="658" t="s">
        <v>1512</v>
      </c>
    </row>
    <row r="335" spans="1:1" x14ac:dyDescent="0.25">
      <c r="A335" s="658" t="s">
        <v>1513</v>
      </c>
    </row>
    <row r="336" spans="1:1" x14ac:dyDescent="0.25">
      <c r="A336" s="658" t="s">
        <v>1514</v>
      </c>
    </row>
    <row r="337" spans="1:1" x14ac:dyDescent="0.25">
      <c r="A337" s="658" t="s">
        <v>1515</v>
      </c>
    </row>
    <row r="338" spans="1:1" x14ac:dyDescent="0.25">
      <c r="A338" s="658" t="s">
        <v>1516</v>
      </c>
    </row>
    <row r="339" spans="1:1" x14ac:dyDescent="0.25">
      <c r="A339" s="658" t="s">
        <v>1517</v>
      </c>
    </row>
    <row r="340" spans="1:1" x14ac:dyDescent="0.25">
      <c r="A340" s="658" t="s">
        <v>1518</v>
      </c>
    </row>
    <row r="341" spans="1:1" x14ac:dyDescent="0.25">
      <c r="A341" s="658" t="s">
        <v>1519</v>
      </c>
    </row>
    <row r="342" spans="1:1" x14ac:dyDescent="0.25">
      <c r="A342" s="658" t="s">
        <v>1520</v>
      </c>
    </row>
    <row r="343" spans="1:1" x14ac:dyDescent="0.25">
      <c r="A343" s="658" t="s">
        <v>1521</v>
      </c>
    </row>
    <row r="344" spans="1:1" x14ac:dyDescent="0.25">
      <c r="A344" s="658" t="s">
        <v>1522</v>
      </c>
    </row>
    <row r="345" spans="1:1" x14ac:dyDescent="0.25">
      <c r="A345" s="658" t="s">
        <v>1523</v>
      </c>
    </row>
    <row r="346" spans="1:1" x14ac:dyDescent="0.25">
      <c r="A346" s="658" t="s">
        <v>1524</v>
      </c>
    </row>
    <row r="347" spans="1:1" x14ac:dyDescent="0.25">
      <c r="A347" s="658" t="s">
        <v>1525</v>
      </c>
    </row>
    <row r="348" spans="1:1" x14ac:dyDescent="0.25">
      <c r="A348" s="658" t="s">
        <v>1526</v>
      </c>
    </row>
    <row r="349" spans="1:1" x14ac:dyDescent="0.25">
      <c r="A349" s="658" t="s">
        <v>1527</v>
      </c>
    </row>
    <row r="350" spans="1:1" x14ac:dyDescent="0.25">
      <c r="A350" s="658" t="s">
        <v>1528</v>
      </c>
    </row>
    <row r="351" spans="1:1" x14ac:dyDescent="0.25">
      <c r="A351" s="658" t="s">
        <v>1529</v>
      </c>
    </row>
    <row r="352" spans="1:1" x14ac:dyDescent="0.25">
      <c r="A352" s="658" t="s">
        <v>1530</v>
      </c>
    </row>
    <row r="353" spans="1:1" x14ac:dyDescent="0.25">
      <c r="A353" s="658" t="s">
        <v>1531</v>
      </c>
    </row>
    <row r="354" spans="1:1" x14ac:dyDescent="0.25">
      <c r="A354" s="658" t="s">
        <v>1532</v>
      </c>
    </row>
    <row r="355" spans="1:1" x14ac:dyDescent="0.25">
      <c r="A355" s="658" t="s">
        <v>1533</v>
      </c>
    </row>
    <row r="356" spans="1:1" x14ac:dyDescent="0.25">
      <c r="A356" s="658" t="s">
        <v>1534</v>
      </c>
    </row>
    <row r="357" spans="1:1" x14ac:dyDescent="0.25">
      <c r="A357" s="658" t="s">
        <v>1535</v>
      </c>
    </row>
    <row r="358" spans="1:1" x14ac:dyDescent="0.25">
      <c r="A358" s="658" t="s">
        <v>1536</v>
      </c>
    </row>
    <row r="359" spans="1:1" x14ac:dyDescent="0.25">
      <c r="A359" s="658" t="s">
        <v>1537</v>
      </c>
    </row>
    <row r="360" spans="1:1" x14ac:dyDescent="0.25">
      <c r="A360" s="658" t="s">
        <v>1538</v>
      </c>
    </row>
    <row r="361" spans="1:1" x14ac:dyDescent="0.25">
      <c r="A361" s="658" t="s">
        <v>1539</v>
      </c>
    </row>
    <row r="362" spans="1:1" x14ac:dyDescent="0.25">
      <c r="A362" s="658" t="s">
        <v>1540</v>
      </c>
    </row>
    <row r="363" spans="1:1" x14ac:dyDescent="0.25">
      <c r="A363" s="658" t="s">
        <v>1541</v>
      </c>
    </row>
    <row r="364" spans="1:1" x14ac:dyDescent="0.25">
      <c r="A364" s="658" t="s">
        <v>1542</v>
      </c>
    </row>
    <row r="365" spans="1:1" x14ac:dyDescent="0.25">
      <c r="A365" s="658" t="s">
        <v>1543</v>
      </c>
    </row>
    <row r="366" spans="1:1" x14ac:dyDescent="0.25">
      <c r="A366" s="658" t="s">
        <v>1544</v>
      </c>
    </row>
    <row r="367" spans="1:1" x14ac:dyDescent="0.25">
      <c r="A367" s="658" t="s">
        <v>1545</v>
      </c>
    </row>
    <row r="368" spans="1:1" x14ac:dyDescent="0.25">
      <c r="A368" s="658" t="s">
        <v>1546</v>
      </c>
    </row>
    <row r="369" spans="1:1" x14ac:dyDescent="0.25">
      <c r="A369" s="658" t="s">
        <v>1547</v>
      </c>
    </row>
    <row r="370" spans="1:1" x14ac:dyDescent="0.25">
      <c r="A370" s="658" t="s">
        <v>1548</v>
      </c>
    </row>
    <row r="371" spans="1:1" x14ac:dyDescent="0.25">
      <c r="A371" s="658" t="s">
        <v>1549</v>
      </c>
    </row>
    <row r="372" spans="1:1" x14ac:dyDescent="0.25">
      <c r="A372" s="658" t="s">
        <v>1550</v>
      </c>
    </row>
    <row r="373" spans="1:1" x14ac:dyDescent="0.25">
      <c r="A373" s="658" t="s">
        <v>1551</v>
      </c>
    </row>
    <row r="374" spans="1:1" x14ac:dyDescent="0.25">
      <c r="A374" s="658" t="s">
        <v>1552</v>
      </c>
    </row>
    <row r="375" spans="1:1" x14ac:dyDescent="0.25">
      <c r="A375" s="658" t="s">
        <v>1553</v>
      </c>
    </row>
    <row r="376" spans="1:1" x14ac:dyDescent="0.25">
      <c r="A376" s="658" t="s">
        <v>1554</v>
      </c>
    </row>
    <row r="377" spans="1:1" x14ac:dyDescent="0.25">
      <c r="A377" s="658" t="s">
        <v>1555</v>
      </c>
    </row>
    <row r="378" spans="1:1" x14ac:dyDescent="0.25">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2.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Admin</cp:lastModifiedBy>
  <cp:revision/>
  <dcterms:created xsi:type="dcterms:W3CDTF">2018-04-09T09:41:18Z</dcterms:created>
  <dcterms:modified xsi:type="dcterms:W3CDTF">2023-04-11T15:22:52Z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