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Y:\FILED-WORK\JOBS 2025\4376-25 (KENNALLY)\DOCS &amp; EMAILS\"/>
    </mc:Choice>
  </mc:AlternateContent>
  <xr:revisionPtr revIDLastSave="0" documentId="8_{6A49BDA0-A411-4351-8CC6-6B55A6CD4C5D}"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870" yWindow="2325" windowWidth="18900" windowHeight="11055"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D7" i="10" s="1"/>
  <c r="E6" i="10"/>
  <c r="B8" i="10"/>
  <c r="D8" i="10" s="1"/>
  <c r="B9" i="10"/>
  <c r="D9" i="10" s="1"/>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AG11" i="1" s="1"/>
  <c r="T11" i="1"/>
  <c r="V11" i="1" s="1"/>
  <c r="W11" i="1"/>
  <c r="X11" i="1" s="1"/>
  <c r="AB11" i="1"/>
  <c r="AC11" i="1" s="1"/>
  <c r="AD11" i="1"/>
  <c r="AH11" i="1"/>
  <c r="AI11" i="1"/>
  <c r="L12" i="1"/>
  <c r="M12" i="1"/>
  <c r="N12" i="1"/>
  <c r="T12" i="1"/>
  <c r="W12" i="1"/>
  <c r="X12" i="1"/>
  <c r="AB12" i="1"/>
  <c r="AE12" i="1"/>
  <c r="AF12" i="1"/>
  <c r="AG12" i="1"/>
  <c r="AI12" i="1"/>
  <c r="L13" i="1"/>
  <c r="M13" i="1"/>
  <c r="N13" i="1"/>
  <c r="T13" i="1"/>
  <c r="AH13" i="1" s="1"/>
  <c r="V13" i="1"/>
  <c r="W13" i="1"/>
  <c r="X13" i="1" s="1"/>
  <c r="AB13" i="1"/>
  <c r="AD13" i="1" s="1"/>
  <c r="AC13" i="1"/>
  <c r="AE13" i="1"/>
  <c r="AF13" i="1"/>
  <c r="AG13" i="1"/>
  <c r="AI13" i="1"/>
  <c r="L14" i="1"/>
  <c r="M14" i="1"/>
  <c r="N14" i="1"/>
  <c r="T14" i="1"/>
  <c r="V14" i="1"/>
  <c r="W14" i="1"/>
  <c r="X14" i="1" s="1"/>
  <c r="AB14" i="1"/>
  <c r="AC14" i="1"/>
  <c r="AD14" i="1"/>
  <c r="AE14" i="1"/>
  <c r="AF14" i="1"/>
  <c r="AG14" i="1"/>
  <c r="AH14" i="1"/>
  <c r="AI14" i="1"/>
  <c r="L15" i="1"/>
  <c r="M15" i="1"/>
  <c r="N15" i="1"/>
  <c r="T15" i="1"/>
  <c r="V15" i="1" s="1"/>
  <c r="W15" i="1"/>
  <c r="X15" i="1"/>
  <c r="AB15" i="1"/>
  <c r="AC15" i="1" s="1"/>
  <c r="AD15" i="1"/>
  <c r="AE15" i="1"/>
  <c r="AF15" i="1"/>
  <c r="AG15" i="1"/>
  <c r="AH15" i="1"/>
  <c r="AI15" i="1"/>
  <c r="L16" i="1"/>
  <c r="M16" i="1"/>
  <c r="N16" i="1"/>
  <c r="T16" i="1"/>
  <c r="W16" i="1"/>
  <c r="X16" i="1"/>
  <c r="AB16" i="1"/>
  <c r="AE16" i="1"/>
  <c r="AF16" i="1"/>
  <c r="AG16" i="1"/>
  <c r="AI16" i="1"/>
  <c r="L17" i="1"/>
  <c r="M17" i="1"/>
  <c r="N17" i="1"/>
  <c r="T17" i="1"/>
  <c r="W17" i="1"/>
  <c r="X17" i="1" s="1"/>
  <c r="AB17" i="1"/>
  <c r="AD17" i="1" s="1"/>
  <c r="AC17" i="1"/>
  <c r="AE17" i="1"/>
  <c r="AF17" i="1"/>
  <c r="AG17" i="1"/>
  <c r="AI17" i="1"/>
  <c r="L18" i="1"/>
  <c r="M18" i="1"/>
  <c r="N18" i="1"/>
  <c r="T18" i="1"/>
  <c r="V18" i="1"/>
  <c r="W18" i="1"/>
  <c r="X18" i="1" s="1"/>
  <c r="AB18" i="1"/>
  <c r="AC18" i="1"/>
  <c r="AD18" i="1"/>
  <c r="AE18" i="1"/>
  <c r="AF18" i="1"/>
  <c r="AG18" i="1"/>
  <c r="AH18" i="1"/>
  <c r="AI18" i="1"/>
  <c r="L19" i="1"/>
  <c r="M19" i="1"/>
  <c r="N19" i="1"/>
  <c r="T19" i="1"/>
  <c r="V19" i="1" s="1"/>
  <c r="W19" i="1"/>
  <c r="X19" i="1"/>
  <c r="AB19" i="1"/>
  <c r="AC19" i="1" s="1"/>
  <c r="AD19" i="1"/>
  <c r="AE19" i="1"/>
  <c r="AF19" i="1"/>
  <c r="AG19" i="1"/>
  <c r="AH19" i="1"/>
  <c r="AI19" i="1"/>
  <c r="L20" i="1"/>
  <c r="M20" i="1"/>
  <c r="N20" i="1"/>
  <c r="T20" i="1"/>
  <c r="W20" i="1"/>
  <c r="X20" i="1"/>
  <c r="AB20" i="1"/>
  <c r="AE20" i="1"/>
  <c r="AF20" i="1"/>
  <c r="AG20" i="1"/>
  <c r="AI20" i="1"/>
  <c r="L21" i="1"/>
  <c r="M21" i="1"/>
  <c r="N21" i="1"/>
  <c r="T21" i="1"/>
  <c r="AH21" i="1" s="1"/>
  <c r="V21" i="1"/>
  <c r="W21" i="1"/>
  <c r="X21" i="1" s="1"/>
  <c r="AB21" i="1"/>
  <c r="AD21" i="1" s="1"/>
  <c r="AC21" i="1"/>
  <c r="AE21" i="1"/>
  <c r="AF21" i="1"/>
  <c r="AG21" i="1"/>
  <c r="AI21" i="1"/>
  <c r="L22" i="1"/>
  <c r="M22" i="1"/>
  <c r="N22" i="1"/>
  <c r="T22" i="1"/>
  <c r="V22" i="1"/>
  <c r="W22" i="1"/>
  <c r="X22" i="1" s="1"/>
  <c r="AB22" i="1"/>
  <c r="AC22" i="1"/>
  <c r="AD22" i="1"/>
  <c r="AE22" i="1"/>
  <c r="AF22" i="1"/>
  <c r="AG22" i="1"/>
  <c r="AH22" i="1"/>
  <c r="AI22" i="1"/>
  <c r="L23" i="1"/>
  <c r="M23" i="1"/>
  <c r="N23" i="1"/>
  <c r="T23" i="1"/>
  <c r="V23" i="1" s="1"/>
  <c r="W23" i="1"/>
  <c r="X23" i="1"/>
  <c r="AB23" i="1"/>
  <c r="AC23" i="1" s="1"/>
  <c r="AD23" i="1"/>
  <c r="AE23" i="1"/>
  <c r="AF23" i="1"/>
  <c r="AG23" i="1"/>
  <c r="AH23" i="1"/>
  <c r="AI23" i="1"/>
  <c r="L24" i="1"/>
  <c r="M24" i="1"/>
  <c r="N24" i="1"/>
  <c r="T24" i="1"/>
  <c r="W24" i="1"/>
  <c r="X24" i="1"/>
  <c r="AB24" i="1"/>
  <c r="AE24" i="1"/>
  <c r="AF24" i="1"/>
  <c r="AG24" i="1"/>
  <c r="AI24" i="1"/>
  <c r="L25" i="1"/>
  <c r="M25" i="1"/>
  <c r="N25" i="1"/>
  <c r="T25" i="1"/>
  <c r="W25" i="1"/>
  <c r="X25" i="1" s="1"/>
  <c r="AB25" i="1"/>
  <c r="AD25" i="1" s="1"/>
  <c r="AC25" i="1"/>
  <c r="AE25" i="1"/>
  <c r="AF25" i="1"/>
  <c r="AG25" i="1"/>
  <c r="AI25" i="1"/>
  <c r="L26" i="1"/>
  <c r="M26" i="1"/>
  <c r="N26" i="1"/>
  <c r="T26" i="1"/>
  <c r="V26" i="1"/>
  <c r="W26" i="1"/>
  <c r="X26" i="1" s="1"/>
  <c r="AB26" i="1"/>
  <c r="AC26" i="1"/>
  <c r="AD26" i="1"/>
  <c r="AE26" i="1"/>
  <c r="AF26" i="1"/>
  <c r="AG26" i="1"/>
  <c r="AH26" i="1"/>
  <c r="AI26" i="1"/>
  <c r="L27" i="1"/>
  <c r="M27" i="1"/>
  <c r="N27" i="1"/>
  <c r="T27" i="1"/>
  <c r="V27" i="1" s="1"/>
  <c r="W27" i="1"/>
  <c r="X27" i="1"/>
  <c r="AB27" i="1"/>
  <c r="AC27" i="1" s="1"/>
  <c r="AD27" i="1"/>
  <c r="AE27" i="1"/>
  <c r="AF27" i="1"/>
  <c r="AG27" i="1"/>
  <c r="AH27" i="1"/>
  <c r="AI27" i="1"/>
  <c r="L28" i="1"/>
  <c r="M28" i="1"/>
  <c r="N28" i="1"/>
  <c r="T28" i="1"/>
  <c r="W28" i="1"/>
  <c r="X28" i="1"/>
  <c r="AB28" i="1"/>
  <c r="AE28" i="1"/>
  <c r="AF28" i="1"/>
  <c r="AG28" i="1"/>
  <c r="AI28" i="1"/>
  <c r="L29" i="1"/>
  <c r="M29" i="1"/>
  <c r="N29" i="1"/>
  <c r="T29" i="1"/>
  <c r="AH29" i="1" s="1"/>
  <c r="V29" i="1"/>
  <c r="W29" i="1"/>
  <c r="X29" i="1" s="1"/>
  <c r="AB29" i="1"/>
  <c r="AD29" i="1" s="1"/>
  <c r="AC29" i="1"/>
  <c r="AE29" i="1"/>
  <c r="AF29" i="1"/>
  <c r="AG29" i="1"/>
  <c r="AI29" i="1"/>
  <c r="L30" i="1"/>
  <c r="M30" i="1"/>
  <c r="N30" i="1"/>
  <c r="T30" i="1"/>
  <c r="V30" i="1"/>
  <c r="W30" i="1"/>
  <c r="X30" i="1" s="1"/>
  <c r="AB30" i="1"/>
  <c r="AC30" i="1"/>
  <c r="AD30" i="1"/>
  <c r="AE30" i="1"/>
  <c r="AF30" i="1"/>
  <c r="AG30" i="1"/>
  <c r="AH30" i="1"/>
  <c r="AI30" i="1"/>
  <c r="T31" i="1"/>
  <c r="W31" i="1"/>
  <c r="X31" i="1" s="1"/>
  <c r="AB31" i="1"/>
  <c r="AD31" i="1" s="1"/>
  <c r="AC31" i="1"/>
  <c r="AI31" i="1"/>
  <c r="I32" i="1"/>
  <c r="J32" i="1"/>
  <c r="K32" i="1"/>
  <c r="E40" i="1"/>
  <c r="T40" i="1"/>
  <c r="V40" i="1"/>
  <c r="W40" i="1"/>
  <c r="X40" i="1"/>
  <c r="AB40" i="1"/>
  <c r="AC40" i="1"/>
  <c r="AD40" i="1"/>
  <c r="AE40" i="1"/>
  <c r="AF40" i="1" s="1"/>
  <c r="AG40" i="1"/>
  <c r="AH40" i="1"/>
  <c r="E41" i="1"/>
  <c r="T41" i="1"/>
  <c r="V41" i="1"/>
  <c r="W41" i="1"/>
  <c r="X41" i="1" s="1"/>
  <c r="AB41" i="1"/>
  <c r="AC41" i="1"/>
  <c r="AD41" i="1"/>
  <c r="AE41" i="1"/>
  <c r="AF41" i="1"/>
  <c r="AG41" i="1"/>
  <c r="AH41" i="1"/>
  <c r="E42" i="1"/>
  <c r="L42" i="1"/>
  <c r="T42" i="1"/>
  <c r="V42" i="1"/>
  <c r="W42" i="1"/>
  <c r="X42" i="1"/>
  <c r="AB42" i="1"/>
  <c r="AD42" i="1" s="1"/>
  <c r="AC42" i="1"/>
  <c r="AE42" i="1"/>
  <c r="AF42" i="1" s="1"/>
  <c r="AG42" i="1"/>
  <c r="AH42" i="1" s="1"/>
  <c r="E43" i="1"/>
  <c r="L43" i="1"/>
  <c r="T43" i="1"/>
  <c r="V43" i="1" s="1"/>
  <c r="W43" i="1"/>
  <c r="X43" i="1"/>
  <c r="AB43" i="1"/>
  <c r="AE43" i="1"/>
  <c r="AF43" i="1"/>
  <c r="AG43" i="1"/>
  <c r="AH43" i="1"/>
  <c r="E44" i="1"/>
  <c r="L44" i="1"/>
  <c r="T44" i="1"/>
  <c r="V44" i="1"/>
  <c r="W44" i="1"/>
  <c r="X44" i="1"/>
  <c r="AB44" i="1"/>
  <c r="AC44" i="1"/>
  <c r="AD44" i="1"/>
  <c r="AE44" i="1"/>
  <c r="AF44" i="1" s="1"/>
  <c r="AG44" i="1"/>
  <c r="AH44" i="1" s="1"/>
  <c r="E45" i="1"/>
  <c r="L45" i="1"/>
  <c r="T45" i="1"/>
  <c r="V45" i="1" s="1"/>
  <c r="W45" i="1"/>
  <c r="X45" i="1" s="1"/>
  <c r="AB45" i="1"/>
  <c r="AD45" i="1" s="1"/>
  <c r="AC45" i="1"/>
  <c r="AE45" i="1"/>
  <c r="AF45" i="1"/>
  <c r="AG45" i="1"/>
  <c r="AH45" i="1" s="1"/>
  <c r="E46" i="1"/>
  <c r="L46" i="1"/>
  <c r="T46" i="1"/>
  <c r="V46" i="1" s="1"/>
  <c r="W46" i="1"/>
  <c r="X46" i="1"/>
  <c r="AB46" i="1"/>
  <c r="AE46" i="1"/>
  <c r="AF46" i="1"/>
  <c r="AG46" i="1"/>
  <c r="AH46" i="1" s="1"/>
  <c r="E47" i="1"/>
  <c r="L47" i="1"/>
  <c r="T47" i="1"/>
  <c r="V47" i="1" s="1"/>
  <c r="W47" i="1"/>
  <c r="X47" i="1" s="1"/>
  <c r="AB47" i="1"/>
  <c r="AC47" i="1" s="1"/>
  <c r="AD47" i="1"/>
  <c r="AE47" i="1"/>
  <c r="AF47" i="1" s="1"/>
  <c r="AG47" i="1"/>
  <c r="AH47" i="1"/>
  <c r="E48" i="1"/>
  <c r="L48" i="1"/>
  <c r="T48" i="1"/>
  <c r="V48" i="1"/>
  <c r="W48" i="1"/>
  <c r="X48" i="1" s="1"/>
  <c r="AB48" i="1"/>
  <c r="AC48" i="1"/>
  <c r="AD48" i="1"/>
  <c r="AE48" i="1"/>
  <c r="AF48" i="1" s="1"/>
  <c r="AG48" i="1"/>
  <c r="AH48" i="1"/>
  <c r="E49" i="1"/>
  <c r="L49" i="1"/>
  <c r="T49" i="1"/>
  <c r="V49" i="1"/>
  <c r="W49" i="1"/>
  <c r="X49" i="1" s="1"/>
  <c r="AB49" i="1"/>
  <c r="AC49" i="1"/>
  <c r="AD49" i="1"/>
  <c r="AE49" i="1"/>
  <c r="AF49" i="1"/>
  <c r="AG49" i="1"/>
  <c r="AH49" i="1"/>
  <c r="E50" i="1"/>
  <c r="L50" i="1"/>
  <c r="T50" i="1"/>
  <c r="V50" i="1"/>
  <c r="W50" i="1"/>
  <c r="X50" i="1"/>
  <c r="AB50" i="1"/>
  <c r="AD50" i="1" s="1"/>
  <c r="AC50" i="1"/>
  <c r="AE50" i="1"/>
  <c r="AF50" i="1" s="1"/>
  <c r="AG50" i="1"/>
  <c r="AH50" i="1" s="1"/>
  <c r="E51" i="1"/>
  <c r="L51" i="1"/>
  <c r="T51" i="1"/>
  <c r="V51" i="1" s="1"/>
  <c r="W51" i="1"/>
  <c r="X51" i="1"/>
  <c r="AB51" i="1"/>
  <c r="AE51" i="1"/>
  <c r="AF51" i="1"/>
  <c r="AG51" i="1"/>
  <c r="AH51" i="1"/>
  <c r="E52" i="1"/>
  <c r="L52" i="1"/>
  <c r="T52" i="1"/>
  <c r="V52" i="1"/>
  <c r="W52" i="1"/>
  <c r="X52" i="1"/>
  <c r="AB52" i="1"/>
  <c r="AC52" i="1"/>
  <c r="AD52" i="1"/>
  <c r="AE52" i="1"/>
  <c r="AF52" i="1" s="1"/>
  <c r="AG52" i="1"/>
  <c r="AH52" i="1" s="1"/>
  <c r="E53" i="1"/>
  <c r="L53" i="1"/>
  <c r="T53" i="1"/>
  <c r="V53" i="1" s="1"/>
  <c r="W53" i="1"/>
  <c r="X53" i="1" s="1"/>
  <c r="AB53" i="1"/>
  <c r="AE53" i="1"/>
  <c r="AF53" i="1"/>
  <c r="AG53" i="1"/>
  <c r="AH53" i="1" s="1"/>
  <c r="E54" i="1"/>
  <c r="L54" i="1"/>
  <c r="T54" i="1"/>
  <c r="V54" i="1" s="1"/>
  <c r="W54" i="1"/>
  <c r="X54" i="1"/>
  <c r="AB54" i="1"/>
  <c r="AE54" i="1"/>
  <c r="AF54" i="1"/>
  <c r="AG54" i="1"/>
  <c r="AH54" i="1" s="1"/>
  <c r="E55" i="1"/>
  <c r="L55" i="1"/>
  <c r="T55" i="1"/>
  <c r="V55" i="1" s="1"/>
  <c r="W55" i="1"/>
  <c r="X55" i="1" s="1"/>
  <c r="AB55" i="1"/>
  <c r="AC55" i="1" s="1"/>
  <c r="AD55" i="1"/>
  <c r="AE55" i="1"/>
  <c r="AF55" i="1" s="1"/>
  <c r="AG55" i="1"/>
  <c r="AH55" i="1"/>
  <c r="E56" i="1"/>
  <c r="L56" i="1"/>
  <c r="T56" i="1"/>
  <c r="V56" i="1"/>
  <c r="W56" i="1"/>
  <c r="X56" i="1" s="1"/>
  <c r="AB56" i="1"/>
  <c r="AC56" i="1"/>
  <c r="AD56" i="1"/>
  <c r="AE56" i="1"/>
  <c r="AF56" i="1" s="1"/>
  <c r="AG56" i="1"/>
  <c r="AH56" i="1"/>
  <c r="E57" i="1"/>
  <c r="L57" i="1"/>
  <c r="T57" i="1"/>
  <c r="V57" i="1"/>
  <c r="W57" i="1"/>
  <c r="X57" i="1" s="1"/>
  <c r="AB57" i="1"/>
  <c r="AC57" i="1"/>
  <c r="AD57" i="1"/>
  <c r="AE57" i="1"/>
  <c r="AF57" i="1"/>
  <c r="AG57" i="1"/>
  <c r="AH57" i="1"/>
  <c r="E58" i="1"/>
  <c r="L58" i="1"/>
  <c r="T58" i="1"/>
  <c r="V58" i="1"/>
  <c r="W58" i="1"/>
  <c r="X58" i="1"/>
  <c r="AB58" i="1"/>
  <c r="AD58" i="1" s="1"/>
  <c r="AC58" i="1"/>
  <c r="AE58" i="1"/>
  <c r="AF58" i="1" s="1"/>
  <c r="AG58" i="1"/>
  <c r="AH58" i="1" s="1"/>
  <c r="E59" i="1"/>
  <c r="L59" i="1"/>
  <c r="T59" i="1"/>
  <c r="V59" i="1" s="1"/>
  <c r="W59" i="1"/>
  <c r="X59" i="1"/>
  <c r="AB59" i="1"/>
  <c r="AE59" i="1"/>
  <c r="AF59" i="1"/>
  <c r="AG59" i="1"/>
  <c r="AH59" i="1"/>
  <c r="T60" i="1"/>
  <c r="V60" i="1"/>
  <c r="W60" i="1"/>
  <c r="X60" i="1"/>
  <c r="AB60" i="1"/>
  <c r="AC60" i="1"/>
  <c r="AD60" i="1"/>
  <c r="AE60" i="1"/>
  <c r="AF60" i="1" s="1"/>
  <c r="AG60" i="1"/>
  <c r="AH60" i="1" s="1"/>
  <c r="I61" i="1"/>
  <c r="D68" i="1"/>
  <c r="H68" i="1"/>
  <c r="AN68" i="1" s="1"/>
  <c r="I68" i="1"/>
  <c r="J68" i="1"/>
  <c r="U68" i="1"/>
  <c r="W68" i="1"/>
  <c r="AB68" i="1"/>
  <c r="AC68" i="1"/>
  <c r="AF68" i="1"/>
  <c r="AG68" i="1"/>
  <c r="AH68" i="1"/>
  <c r="AU68" i="1"/>
  <c r="AV68" i="1"/>
  <c r="AW68" i="1"/>
  <c r="AY68" i="1"/>
  <c r="BB68" i="1"/>
  <c r="BG68" i="1"/>
  <c r="BH68" i="1"/>
  <c r="C69" i="1"/>
  <c r="AY69" i="1" s="1"/>
  <c r="D69" i="1"/>
  <c r="H69" i="1"/>
  <c r="AN69" i="1" s="1"/>
  <c r="I69" i="1"/>
  <c r="J69" i="1"/>
  <c r="L69" i="1"/>
  <c r="M69" i="1"/>
  <c r="T69" i="1"/>
  <c r="U69" i="1"/>
  <c r="V69" i="1"/>
  <c r="W69" i="1"/>
  <c r="X69" i="1"/>
  <c r="AB69" i="1"/>
  <c r="AC69" i="1"/>
  <c r="AD69" i="1"/>
  <c r="AE69" i="1"/>
  <c r="AF69" i="1"/>
  <c r="AG69" i="1"/>
  <c r="AH69" i="1"/>
  <c r="AI69" i="1"/>
  <c r="AJ69" i="1" s="1"/>
  <c r="AO69" i="1"/>
  <c r="AP69" i="1"/>
  <c r="AQ69" i="1"/>
  <c r="AR69" i="1"/>
  <c r="AS69" i="1"/>
  <c r="AT69" i="1" s="1"/>
  <c r="AU69" i="1"/>
  <c r="AV69" i="1"/>
  <c r="AW69" i="1"/>
  <c r="AX69" i="1"/>
  <c r="E69" i="1" s="1"/>
  <c r="BB69" i="1"/>
  <c r="BC69" i="1"/>
  <c r="BD69" i="1"/>
  <c r="BS69" i="1"/>
  <c r="C70" i="1"/>
  <c r="AY70" i="1" s="1"/>
  <c r="D70" i="1"/>
  <c r="H70" i="1"/>
  <c r="AN70" i="1" s="1"/>
  <c r="I70" i="1"/>
  <c r="J70" i="1"/>
  <c r="L70" i="1"/>
  <c r="M70" i="1"/>
  <c r="T70" i="1"/>
  <c r="U70" i="1"/>
  <c r="V70" i="1"/>
  <c r="W70" i="1"/>
  <c r="X70" i="1"/>
  <c r="AB70" i="1"/>
  <c r="AC70" i="1"/>
  <c r="AD70" i="1"/>
  <c r="AE70" i="1" s="1"/>
  <c r="AF70" i="1"/>
  <c r="AG70" i="1"/>
  <c r="AH70" i="1"/>
  <c r="AI70" i="1"/>
  <c r="AJ70" i="1" s="1"/>
  <c r="AQ70" i="1"/>
  <c r="AR70" i="1"/>
  <c r="AS70" i="1"/>
  <c r="AT70" i="1"/>
  <c r="AU70" i="1"/>
  <c r="AV70" i="1"/>
  <c r="AW70" i="1"/>
  <c r="BD68" i="1" s="1"/>
  <c r="AX70" i="1"/>
  <c r="E70" i="1" s="1"/>
  <c r="BB70" i="1"/>
  <c r="BD70" i="1"/>
  <c r="BG70" i="1"/>
  <c r="C71" i="1"/>
  <c r="AY71" i="1" s="1"/>
  <c r="D71" i="1"/>
  <c r="E71" i="1"/>
  <c r="H71" i="1"/>
  <c r="AN71" i="1" s="1"/>
  <c r="I71" i="1"/>
  <c r="J71" i="1"/>
  <c r="L71" i="1"/>
  <c r="M71" i="1"/>
  <c r="T71" i="1"/>
  <c r="U71" i="1"/>
  <c r="V71" i="1"/>
  <c r="W71" i="1"/>
  <c r="X71" i="1"/>
  <c r="AB71" i="1"/>
  <c r="AC71" i="1"/>
  <c r="AD71" i="1"/>
  <c r="AE71" i="1" s="1"/>
  <c r="AF71" i="1"/>
  <c r="AG71" i="1"/>
  <c r="AH71" i="1"/>
  <c r="AI71" i="1"/>
  <c r="AJ71" i="1" s="1"/>
  <c r="AQ71" i="1"/>
  <c r="AR71" i="1"/>
  <c r="AS71" i="1"/>
  <c r="AT71" i="1" s="1"/>
  <c r="AU71" i="1"/>
  <c r="AV71" i="1"/>
  <c r="AW71" i="1"/>
  <c r="AX71" i="1"/>
  <c r="BB71" i="1"/>
  <c r="BD71" i="1"/>
  <c r="BF71" i="1"/>
  <c r="C72" i="1"/>
  <c r="AY72" i="1" s="1"/>
  <c r="D72" i="1"/>
  <c r="E72" i="1"/>
  <c r="H72" i="1"/>
  <c r="I72" i="1"/>
  <c r="J72" i="1"/>
  <c r="L72" i="1"/>
  <c r="M72" i="1"/>
  <c r="T72" i="1"/>
  <c r="U72" i="1"/>
  <c r="V72" i="1"/>
  <c r="W72" i="1"/>
  <c r="X72" i="1"/>
  <c r="AB72" i="1"/>
  <c r="AC72" i="1"/>
  <c r="AD72" i="1" s="1"/>
  <c r="AE72" i="1" s="1"/>
  <c r="AF72" i="1"/>
  <c r="AG72" i="1"/>
  <c r="AH72" i="1" s="1"/>
  <c r="AI72" i="1"/>
  <c r="AJ72" i="1" s="1"/>
  <c r="AN72" i="1"/>
  <c r="AP72" i="1" s="1"/>
  <c r="AO72" i="1"/>
  <c r="AQ72" i="1"/>
  <c r="AR72" i="1"/>
  <c r="AS72" i="1"/>
  <c r="AT72" i="1" s="1"/>
  <c r="AU72" i="1"/>
  <c r="AV72" i="1"/>
  <c r="AW72" i="1"/>
  <c r="AX72" i="1"/>
  <c r="BB72" i="1"/>
  <c r="BC72" i="1"/>
  <c r="BD72" i="1"/>
  <c r="BH72" i="1"/>
  <c r="C73" i="1"/>
  <c r="AY73" i="1" s="1"/>
  <c r="D73" i="1"/>
  <c r="E73" i="1"/>
  <c r="H73" i="1"/>
  <c r="I73" i="1"/>
  <c r="J73" i="1"/>
  <c r="L73" i="1"/>
  <c r="M73" i="1"/>
  <c r="T73" i="1"/>
  <c r="U73" i="1"/>
  <c r="V73" i="1"/>
  <c r="W73" i="1"/>
  <c r="X73" i="1"/>
  <c r="AB73" i="1"/>
  <c r="AC73" i="1"/>
  <c r="AD73" i="1" s="1"/>
  <c r="AE73" i="1"/>
  <c r="AF73" i="1"/>
  <c r="AG73" i="1"/>
  <c r="AH73" i="1" s="1"/>
  <c r="AI73" i="1"/>
  <c r="AJ73" i="1" s="1"/>
  <c r="AN73" i="1"/>
  <c r="AQ73" i="1"/>
  <c r="AR73" i="1"/>
  <c r="AS73" i="1"/>
  <c r="AT73" i="1" s="1"/>
  <c r="AU73" i="1"/>
  <c r="AV73" i="1"/>
  <c r="AW73" i="1"/>
  <c r="BG69" i="1" s="1"/>
  <c r="AX73" i="1"/>
  <c r="BB73" i="1"/>
  <c r="BC73" i="1"/>
  <c r="BD73" i="1"/>
  <c r="BG73" i="1"/>
  <c r="BH73" i="1"/>
  <c r="BL73" i="1"/>
  <c r="C74" i="1"/>
  <c r="AY74" i="1" s="1"/>
  <c r="D74" i="1"/>
  <c r="H74" i="1"/>
  <c r="AN74" i="1" s="1"/>
  <c r="AO74" i="1" s="1"/>
  <c r="I74" i="1"/>
  <c r="J74" i="1"/>
  <c r="L74" i="1"/>
  <c r="M74" i="1"/>
  <c r="T74" i="1"/>
  <c r="U74" i="1"/>
  <c r="V74" i="1"/>
  <c r="W74" i="1"/>
  <c r="X74" i="1"/>
  <c r="AB74" i="1"/>
  <c r="AC74" i="1"/>
  <c r="AD74" i="1"/>
  <c r="AE74" i="1"/>
  <c r="AF74" i="1"/>
  <c r="AG74" i="1"/>
  <c r="AH74" i="1"/>
  <c r="AI74" i="1"/>
  <c r="AJ74" i="1" s="1"/>
  <c r="AP74" i="1"/>
  <c r="AQ74" i="1"/>
  <c r="AR74" i="1"/>
  <c r="AS74" i="1"/>
  <c r="AT74" i="1"/>
  <c r="AU74" i="1"/>
  <c r="AV74" i="1"/>
  <c r="AW74" i="1"/>
  <c r="BH70" i="1" s="1"/>
  <c r="AX74" i="1"/>
  <c r="E74" i="1" s="1"/>
  <c r="BB74" i="1"/>
  <c r="BD74" i="1"/>
  <c r="BG74" i="1"/>
  <c r="BH74" i="1"/>
  <c r="BL74" i="1"/>
  <c r="C75" i="1"/>
  <c r="AY75" i="1" s="1"/>
  <c r="D75" i="1"/>
  <c r="L75" i="1" s="1"/>
  <c r="H75" i="1"/>
  <c r="AN75" i="1" s="1"/>
  <c r="I75" i="1"/>
  <c r="J75" i="1"/>
  <c r="M75" i="1"/>
  <c r="T75" i="1"/>
  <c r="U75" i="1"/>
  <c r="W75" i="1"/>
  <c r="X75" i="1"/>
  <c r="AB75" i="1"/>
  <c r="AF75" i="1"/>
  <c r="AI75" i="1"/>
  <c r="AJ75" i="1" s="1"/>
  <c r="AQ75" i="1"/>
  <c r="AR75" i="1" s="1"/>
  <c r="AS75" i="1"/>
  <c r="AT75" i="1" s="1"/>
  <c r="AU75" i="1"/>
  <c r="AV75" i="1" s="1"/>
  <c r="AW75" i="1"/>
  <c r="AX75" i="1"/>
  <c r="E75" i="1" s="1"/>
  <c r="BB75" i="1"/>
  <c r="BC75" i="1"/>
  <c r="BD75" i="1"/>
  <c r="BG75" i="1"/>
  <c r="BH75" i="1"/>
  <c r="C76" i="1"/>
  <c r="AY76" i="1" s="1"/>
  <c r="D76" i="1"/>
  <c r="L76" i="1" s="1"/>
  <c r="H76" i="1"/>
  <c r="AN76" i="1" s="1"/>
  <c r="I76" i="1"/>
  <c r="J76" i="1"/>
  <c r="M76" i="1"/>
  <c r="T76" i="1"/>
  <c r="U76" i="1"/>
  <c r="W76" i="1"/>
  <c r="X76" i="1"/>
  <c r="AB76" i="1"/>
  <c r="AF76" i="1"/>
  <c r="AI76" i="1"/>
  <c r="AJ76" i="1" s="1"/>
  <c r="AQ76" i="1"/>
  <c r="AR76" i="1" s="1"/>
  <c r="AS76" i="1"/>
  <c r="AT76" i="1" s="1"/>
  <c r="AU76" i="1"/>
  <c r="AV76" i="1" s="1"/>
  <c r="AW76" i="1"/>
  <c r="AX76" i="1"/>
  <c r="E76" i="1" s="1"/>
  <c r="BB76" i="1"/>
  <c r="BC76" i="1"/>
  <c r="BD76" i="1"/>
  <c r="BG76" i="1"/>
  <c r="BH76" i="1"/>
  <c r="C77" i="1"/>
  <c r="AY77" i="1" s="1"/>
  <c r="D77" i="1"/>
  <c r="L77" i="1" s="1"/>
  <c r="H77" i="1"/>
  <c r="AN77" i="1" s="1"/>
  <c r="I77" i="1"/>
  <c r="J77" i="1"/>
  <c r="M77" i="1"/>
  <c r="T77" i="1"/>
  <c r="U77" i="1"/>
  <c r="W77" i="1"/>
  <c r="X77" i="1"/>
  <c r="AB77" i="1"/>
  <c r="AF77" i="1"/>
  <c r="AI77" i="1"/>
  <c r="AJ77" i="1" s="1"/>
  <c r="AQ77" i="1"/>
  <c r="AR77" i="1" s="1"/>
  <c r="AS77" i="1"/>
  <c r="AT77" i="1" s="1"/>
  <c r="AU77" i="1"/>
  <c r="AV77" i="1" s="1"/>
  <c r="AW77" i="1"/>
  <c r="AX77" i="1"/>
  <c r="E77" i="1" s="1"/>
  <c r="BB77" i="1"/>
  <c r="BC77" i="1"/>
  <c r="BD77" i="1"/>
  <c r="BG77" i="1"/>
  <c r="BH77" i="1"/>
  <c r="BL77" i="1"/>
  <c r="C78" i="1"/>
  <c r="AY78" i="1" s="1"/>
  <c r="D78" i="1"/>
  <c r="L78" i="1" s="1"/>
  <c r="H78" i="1"/>
  <c r="AN78" i="1" s="1"/>
  <c r="I78" i="1"/>
  <c r="J78" i="1"/>
  <c r="M78" i="1"/>
  <c r="T78" i="1"/>
  <c r="U78" i="1"/>
  <c r="W78" i="1"/>
  <c r="X78" i="1"/>
  <c r="AB78" i="1"/>
  <c r="AF78" i="1"/>
  <c r="AI78" i="1"/>
  <c r="AJ78" i="1" s="1"/>
  <c r="AQ78" i="1"/>
  <c r="AR78" i="1" s="1"/>
  <c r="AS78" i="1"/>
  <c r="AT78" i="1" s="1"/>
  <c r="AU78" i="1"/>
  <c r="AV78" i="1" s="1"/>
  <c r="AW78" i="1"/>
  <c r="BL70" i="1" s="1"/>
  <c r="AX78" i="1"/>
  <c r="E78" i="1" s="1"/>
  <c r="BB78" i="1"/>
  <c r="BC78" i="1"/>
  <c r="BD78" i="1"/>
  <c r="BG78" i="1"/>
  <c r="BH78" i="1"/>
  <c r="BL78" i="1"/>
  <c r="C79" i="1"/>
  <c r="AY79" i="1" s="1"/>
  <c r="D79" i="1"/>
  <c r="L79" i="1" s="1"/>
  <c r="H79" i="1"/>
  <c r="AN79" i="1" s="1"/>
  <c r="I79" i="1"/>
  <c r="J79" i="1"/>
  <c r="M79" i="1"/>
  <c r="T79" i="1"/>
  <c r="U79" i="1"/>
  <c r="W79" i="1"/>
  <c r="X79" i="1"/>
  <c r="AB79" i="1"/>
  <c r="AF79" i="1"/>
  <c r="AI79" i="1"/>
  <c r="AJ79" i="1" s="1"/>
  <c r="AQ79" i="1"/>
  <c r="AR79" i="1" s="1"/>
  <c r="AS79" i="1"/>
  <c r="AT79" i="1" s="1"/>
  <c r="AU79" i="1"/>
  <c r="AV79" i="1" s="1"/>
  <c r="AW79" i="1"/>
  <c r="AX79" i="1"/>
  <c r="E79" i="1" s="1"/>
  <c r="BB79" i="1"/>
  <c r="BC79" i="1"/>
  <c r="BD79" i="1"/>
  <c r="BG79" i="1"/>
  <c r="BH79" i="1"/>
  <c r="BL79" i="1"/>
  <c r="C80" i="1"/>
  <c r="AY80" i="1" s="1"/>
  <c r="D80" i="1"/>
  <c r="L80" i="1" s="1"/>
  <c r="H80" i="1"/>
  <c r="AN80" i="1" s="1"/>
  <c r="I80" i="1"/>
  <c r="J80" i="1"/>
  <c r="M80" i="1"/>
  <c r="T80" i="1"/>
  <c r="U80" i="1"/>
  <c r="W80" i="1"/>
  <c r="X80" i="1"/>
  <c r="AB80" i="1"/>
  <c r="AF80" i="1"/>
  <c r="AI80" i="1"/>
  <c r="AJ80" i="1" s="1"/>
  <c r="AQ80" i="1"/>
  <c r="AR80" i="1" s="1"/>
  <c r="AS80" i="1"/>
  <c r="AT80" i="1" s="1"/>
  <c r="AU80" i="1"/>
  <c r="AV80" i="1" s="1"/>
  <c r="AW80" i="1"/>
  <c r="AX80" i="1"/>
  <c r="E80" i="1" s="1"/>
  <c r="BB80" i="1"/>
  <c r="BC80" i="1"/>
  <c r="BD80" i="1"/>
  <c r="BG80" i="1"/>
  <c r="BH80" i="1"/>
  <c r="BL80" i="1"/>
  <c r="C81" i="1"/>
  <c r="D81" i="1"/>
  <c r="L81" i="1" s="1"/>
  <c r="H81" i="1"/>
  <c r="AN81" i="1" s="1"/>
  <c r="I81" i="1"/>
  <c r="J81" i="1"/>
  <c r="M81" i="1"/>
  <c r="T81" i="1"/>
  <c r="U81" i="1"/>
  <c r="W81" i="1"/>
  <c r="X81" i="1"/>
  <c r="AB81" i="1"/>
  <c r="AF81" i="1"/>
  <c r="AI81" i="1"/>
  <c r="AJ81" i="1" s="1"/>
  <c r="AQ81" i="1"/>
  <c r="AR81" i="1" s="1"/>
  <c r="AS81" i="1"/>
  <c r="AT81" i="1" s="1"/>
  <c r="AU81" i="1"/>
  <c r="AV81" i="1" s="1"/>
  <c r="AW81" i="1"/>
  <c r="AX81" i="1"/>
  <c r="E81" i="1" s="1"/>
  <c r="AY81" i="1"/>
  <c r="BB81" i="1"/>
  <c r="BC81" i="1"/>
  <c r="BD81" i="1"/>
  <c r="BG81" i="1"/>
  <c r="BH81" i="1"/>
  <c r="BI81" i="1"/>
  <c r="BM81" i="1"/>
  <c r="BS81" i="1"/>
  <c r="C82" i="1"/>
  <c r="D82" i="1"/>
  <c r="I82" i="1"/>
  <c r="J82" i="1"/>
  <c r="M82" i="1"/>
  <c r="W82" i="1"/>
  <c r="X82" i="1"/>
  <c r="AF82" i="1"/>
  <c r="AS82" i="1"/>
  <c r="AT82" i="1" s="1"/>
  <c r="AX82" i="1"/>
  <c r="E82" i="1" s="1"/>
  <c r="AY82" i="1"/>
  <c r="BB82" i="1"/>
  <c r="BC82" i="1"/>
  <c r="BD82" i="1"/>
  <c r="BE82" i="1"/>
  <c r="BG82" i="1"/>
  <c r="BH82" i="1"/>
  <c r="BI82" i="1"/>
  <c r="BK82" i="1"/>
  <c r="D83" i="1"/>
  <c r="I83" i="1"/>
  <c r="J83" i="1"/>
  <c r="M83" i="1"/>
  <c r="AB83" i="1"/>
  <c r="AF83" i="1"/>
  <c r="AX83" i="1"/>
  <c r="E83" i="1" s="1"/>
  <c r="BB83" i="1"/>
  <c r="BC83" i="1"/>
  <c r="BD83" i="1"/>
  <c r="BE83" i="1"/>
  <c r="BG83" i="1"/>
  <c r="BH83" i="1"/>
  <c r="BL83" i="1"/>
  <c r="D84" i="1"/>
  <c r="H84" i="1"/>
  <c r="AN84" i="1" s="1"/>
  <c r="AO84" i="1" s="1"/>
  <c r="I84" i="1"/>
  <c r="J84" i="1"/>
  <c r="M84" i="1"/>
  <c r="T84" i="1"/>
  <c r="U84" i="1"/>
  <c r="X84" i="1"/>
  <c r="AB84" i="1"/>
  <c r="AF84" i="1"/>
  <c r="AI84" i="1"/>
  <c r="AJ84" i="1" s="1"/>
  <c r="AP84" i="1"/>
  <c r="AQ84" i="1"/>
  <c r="AR84" i="1" s="1"/>
  <c r="AU84" i="1"/>
  <c r="AV84" i="1" s="1"/>
  <c r="AW84" i="1"/>
  <c r="AX84" i="1"/>
  <c r="E84" i="1" s="1"/>
  <c r="BB84" i="1"/>
  <c r="BC84" i="1"/>
  <c r="BD84" i="1"/>
  <c r="BG84" i="1"/>
  <c r="BH84" i="1"/>
  <c r="BL84" i="1"/>
  <c r="BM84" i="1"/>
  <c r="BS84" i="1"/>
  <c r="C85" i="1"/>
  <c r="AY85" i="1" s="1"/>
  <c r="D85" i="1"/>
  <c r="H85" i="1"/>
  <c r="AN85" i="1" s="1"/>
  <c r="AO85" i="1" s="1"/>
  <c r="I85" i="1"/>
  <c r="J85" i="1"/>
  <c r="L85" i="1"/>
  <c r="M85" i="1"/>
  <c r="T85" i="1"/>
  <c r="U85" i="1"/>
  <c r="V85" i="1"/>
  <c r="W85" i="1"/>
  <c r="X85" i="1"/>
  <c r="AB85" i="1"/>
  <c r="AC85" i="1"/>
  <c r="AD85" i="1"/>
  <c r="AE85" i="1"/>
  <c r="AF85" i="1"/>
  <c r="AG85" i="1"/>
  <c r="AH85" i="1"/>
  <c r="AI85" i="1"/>
  <c r="AJ85" i="1"/>
  <c r="AQ85" i="1"/>
  <c r="AR85" i="1" s="1"/>
  <c r="AS85" i="1"/>
  <c r="AT85" i="1"/>
  <c r="AU85" i="1"/>
  <c r="AV85" i="1" s="1"/>
  <c r="AW85" i="1"/>
  <c r="AX85" i="1"/>
  <c r="E85" i="1" s="1"/>
  <c r="BB85" i="1"/>
  <c r="BC85" i="1"/>
  <c r="BD85" i="1"/>
  <c r="BE85" i="1"/>
  <c r="BG85" i="1"/>
  <c r="BH85" i="1"/>
  <c r="BI85" i="1"/>
  <c r="BL85" i="1"/>
  <c r="BM85" i="1"/>
  <c r="BS85" i="1"/>
  <c r="D86" i="1"/>
  <c r="I86" i="1"/>
  <c r="J86" i="1"/>
  <c r="M86" i="1"/>
  <c r="T86" i="1"/>
  <c r="AX86" i="1"/>
  <c r="E86" i="1" s="1"/>
  <c r="BB86" i="1"/>
  <c r="BC86" i="1"/>
  <c r="BD86" i="1"/>
  <c r="BG86" i="1"/>
  <c r="BH86" i="1"/>
  <c r="BI86" i="1"/>
  <c r="BL86" i="1"/>
  <c r="BM86" i="1"/>
  <c r="BS86" i="1"/>
  <c r="C87" i="1"/>
  <c r="AY87" i="1" s="1"/>
  <c r="D87" i="1"/>
  <c r="U87" i="1" s="1"/>
  <c r="I87" i="1"/>
  <c r="J87" i="1"/>
  <c r="M87" i="1"/>
  <c r="T87" i="1"/>
  <c r="X87" i="1"/>
  <c r="AB87" i="1"/>
  <c r="AI87" i="1"/>
  <c r="AJ87" i="1"/>
  <c r="AQ87" i="1"/>
  <c r="AR87" i="1" s="1"/>
  <c r="AU87" i="1"/>
  <c r="AV87" i="1" s="1"/>
  <c r="AX87" i="1"/>
  <c r="E87" i="1" s="1"/>
  <c r="BB87" i="1"/>
  <c r="BC87" i="1"/>
  <c r="BD87" i="1"/>
  <c r="BG87" i="1"/>
  <c r="BH87" i="1"/>
  <c r="BI87" i="1"/>
  <c r="BL87" i="1"/>
  <c r="BM87" i="1"/>
  <c r="BS87" i="1"/>
  <c r="J88" i="1"/>
  <c r="AI88" i="1" s="1"/>
  <c r="AJ88" i="1" s="1"/>
  <c r="T88" i="1"/>
  <c r="U88" i="1"/>
  <c r="W88" i="1"/>
  <c r="X88" i="1"/>
  <c r="AB88" i="1"/>
  <c r="AC88" i="1"/>
  <c r="AF88" i="1"/>
  <c r="AG88" i="1"/>
  <c r="AH88" i="1"/>
  <c r="AN88" i="1"/>
  <c r="AO88" i="1"/>
  <c r="AP88" i="1"/>
  <c r="AQ88" i="1"/>
  <c r="AR88" i="1" s="1"/>
  <c r="AS88" i="1"/>
  <c r="AT88" i="1"/>
  <c r="AU88" i="1"/>
  <c r="AV88" i="1" s="1"/>
  <c r="AW88" i="1"/>
  <c r="AX88" i="1"/>
  <c r="AY88" i="1"/>
  <c r="D99" i="1"/>
  <c r="E99" i="1"/>
  <c r="G99" i="1"/>
  <c r="E100" i="1"/>
  <c r="F114" i="1"/>
  <c r="F115" i="1"/>
  <c r="I115" i="1" s="1"/>
  <c r="J115" i="1" s="1"/>
  <c r="F117" i="1"/>
  <c r="I117" i="1" s="1"/>
  <c r="J117" i="1" s="1"/>
  <c r="F118" i="1"/>
  <c r="F119" i="1"/>
  <c r="I119" i="1" s="1"/>
  <c r="J119" i="1" s="1"/>
  <c r="F120" i="1"/>
  <c r="F121" i="1"/>
  <c r="I121" i="1" s="1"/>
  <c r="J121" i="1" s="1"/>
  <c r="F122" i="1"/>
  <c r="F123" i="1"/>
  <c r="I123" i="1" s="1"/>
  <c r="J123" i="1" s="1"/>
  <c r="F124" i="1"/>
  <c r="F125" i="1"/>
  <c r="I125" i="1" s="1"/>
  <c r="J125" i="1" s="1"/>
  <c r="F126" i="1"/>
  <c r="F127" i="1"/>
  <c r="I127" i="1" s="1"/>
  <c r="J127" i="1" s="1"/>
  <c r="F128" i="1"/>
  <c r="F129" i="1"/>
  <c r="I129" i="1" s="1"/>
  <c r="J129" i="1" s="1"/>
  <c r="F130" i="1"/>
  <c r="F131" i="1"/>
  <c r="I131" i="1" s="1"/>
  <c r="J131" i="1" s="1"/>
  <c r="F132" i="1"/>
  <c r="F133" i="1"/>
  <c r="I133" i="1" s="1"/>
  <c r="J133" i="1" s="1"/>
  <c r="C2" i="21"/>
  <c r="M11" i="21"/>
  <c r="AG11" i="21" s="1"/>
  <c r="T11" i="21"/>
  <c r="W11" i="21"/>
  <c r="X11" i="21"/>
  <c r="AB11" i="21"/>
  <c r="AI11" i="21"/>
  <c r="M12" i="21"/>
  <c r="T12" i="21"/>
  <c r="AH12" i="21" s="1"/>
  <c r="V12" i="21"/>
  <c r="W12" i="21"/>
  <c r="X12" i="21"/>
  <c r="AB12" i="21"/>
  <c r="AD12" i="21" s="1"/>
  <c r="AC12" i="21"/>
  <c r="AG12" i="21"/>
  <c r="AI12" i="21"/>
  <c r="L13" i="21"/>
  <c r="M13" i="21"/>
  <c r="N13" i="21"/>
  <c r="T13" i="21"/>
  <c r="V13" i="21"/>
  <c r="W13" i="21"/>
  <c r="X13" i="21" s="1"/>
  <c r="AB13" i="21"/>
  <c r="AC13" i="21"/>
  <c r="AD13" i="21"/>
  <c r="AE13" i="21"/>
  <c r="AF13" i="21"/>
  <c r="AG13" i="21"/>
  <c r="AH13" i="21"/>
  <c r="AI13" i="21"/>
  <c r="L14" i="21"/>
  <c r="M14" i="21"/>
  <c r="N14" i="21"/>
  <c r="T14" i="21"/>
  <c r="V14" i="21"/>
  <c r="W14" i="21"/>
  <c r="X14" i="21"/>
  <c r="AB14" i="21"/>
  <c r="AC14" i="21"/>
  <c r="AD14" i="21"/>
  <c r="AE14" i="21"/>
  <c r="AF14" i="21"/>
  <c r="AG14" i="21"/>
  <c r="AH14" i="21"/>
  <c r="AI14" i="21"/>
  <c r="L15" i="21"/>
  <c r="M15" i="21"/>
  <c r="N15" i="21"/>
  <c r="T15" i="21"/>
  <c r="W15" i="21"/>
  <c r="X15" i="21" s="1"/>
  <c r="AB15" i="21"/>
  <c r="AC15" i="21" s="1"/>
  <c r="AD15" i="21"/>
  <c r="AE15" i="21"/>
  <c r="AF15" i="21"/>
  <c r="AG15" i="21"/>
  <c r="AI15" i="21"/>
  <c r="L16" i="21"/>
  <c r="M16" i="21"/>
  <c r="N16" i="21"/>
  <c r="T16" i="21"/>
  <c r="W16" i="21"/>
  <c r="X16" i="21"/>
  <c r="AB16" i="21"/>
  <c r="AE16" i="21"/>
  <c r="AF16" i="21"/>
  <c r="AG16" i="21"/>
  <c r="AI16" i="21"/>
  <c r="L17" i="21"/>
  <c r="M17" i="21"/>
  <c r="N17" i="21"/>
  <c r="T17" i="21"/>
  <c r="V17" i="21"/>
  <c r="W17" i="21"/>
  <c r="X17" i="21" s="1"/>
  <c r="AB17" i="21"/>
  <c r="AE17" i="21"/>
  <c r="AF17" i="21"/>
  <c r="AG17" i="21"/>
  <c r="AH17" i="21"/>
  <c r="AI17" i="21"/>
  <c r="L18" i="21"/>
  <c r="M18" i="21"/>
  <c r="N18" i="21"/>
  <c r="T18" i="21"/>
  <c r="V18" i="21"/>
  <c r="W18" i="21"/>
  <c r="X18" i="21"/>
  <c r="AB18" i="21"/>
  <c r="AC18" i="21"/>
  <c r="AD18" i="21"/>
  <c r="AE18" i="21"/>
  <c r="AF18" i="21"/>
  <c r="AG18" i="21"/>
  <c r="AH18" i="21"/>
  <c r="AI18" i="21"/>
  <c r="L19" i="21"/>
  <c r="M19" i="21"/>
  <c r="N19" i="21"/>
  <c r="T19" i="21"/>
  <c r="V19" i="21" s="1"/>
  <c r="W19" i="21"/>
  <c r="X19" i="21"/>
  <c r="AB19" i="21"/>
  <c r="AC19" i="21" s="1"/>
  <c r="AD19" i="21"/>
  <c r="AE19" i="21"/>
  <c r="AF19" i="21"/>
  <c r="AG19" i="21"/>
  <c r="AH19" i="21"/>
  <c r="AI19" i="21"/>
  <c r="L20" i="21"/>
  <c r="M20" i="21"/>
  <c r="N20" i="21"/>
  <c r="T20" i="21"/>
  <c r="AH20" i="21" s="1"/>
  <c r="V20" i="21"/>
  <c r="W20" i="21"/>
  <c r="X20" i="21"/>
  <c r="AB20" i="21"/>
  <c r="AD20" i="21" s="1"/>
  <c r="AC20" i="21"/>
  <c r="AE20" i="21"/>
  <c r="AF20" i="21"/>
  <c r="AG20" i="21"/>
  <c r="AI20" i="21"/>
  <c r="L21" i="21"/>
  <c r="M21" i="21"/>
  <c r="N21" i="21"/>
  <c r="T21" i="21"/>
  <c r="W21" i="21"/>
  <c r="X21" i="21" s="1"/>
  <c r="AB21" i="21"/>
  <c r="AD21" i="21" s="1"/>
  <c r="AC21" i="21"/>
  <c r="AE21" i="21"/>
  <c r="AF21" i="21"/>
  <c r="AG21" i="21"/>
  <c r="AI21" i="21"/>
  <c r="L22" i="21"/>
  <c r="M22" i="21"/>
  <c r="N22" i="21"/>
  <c r="T22" i="21"/>
  <c r="V22" i="21"/>
  <c r="W22" i="21"/>
  <c r="X22" i="21" s="1"/>
  <c r="AB22" i="21"/>
  <c r="AC22" i="21"/>
  <c r="AD22" i="21"/>
  <c r="AE22" i="21"/>
  <c r="AF22" i="21"/>
  <c r="AG22" i="21"/>
  <c r="AH22" i="21"/>
  <c r="AI22" i="21"/>
  <c r="L23" i="21"/>
  <c r="M23" i="21"/>
  <c r="N23" i="21"/>
  <c r="T23" i="21"/>
  <c r="V23" i="21" s="1"/>
  <c r="W23" i="21"/>
  <c r="X23" i="21"/>
  <c r="AB23" i="21"/>
  <c r="AE23" i="21"/>
  <c r="AF23" i="21"/>
  <c r="AG23" i="21"/>
  <c r="AH23" i="21"/>
  <c r="AI23" i="21"/>
  <c r="L24" i="21"/>
  <c r="M24" i="21"/>
  <c r="N24" i="21"/>
  <c r="T24" i="21"/>
  <c r="AH24" i="21" s="1"/>
  <c r="V24" i="21"/>
  <c r="W24" i="21"/>
  <c r="X24" i="21"/>
  <c r="AB24" i="21"/>
  <c r="AD24" i="21" s="1"/>
  <c r="AC24" i="21"/>
  <c r="AE24" i="21"/>
  <c r="AF24" i="21"/>
  <c r="AG24" i="21"/>
  <c r="AI24" i="21"/>
  <c r="L25" i="21"/>
  <c r="M25" i="21"/>
  <c r="N25" i="21"/>
  <c r="T25" i="21"/>
  <c r="V25" i="21"/>
  <c r="W25" i="21"/>
  <c r="X25" i="21" s="1"/>
  <c r="AB25" i="21"/>
  <c r="AC25" i="21"/>
  <c r="AD25" i="21"/>
  <c r="AE25" i="21"/>
  <c r="AF25" i="21"/>
  <c r="AG25" i="21"/>
  <c r="AH25" i="21"/>
  <c r="AI25" i="21"/>
  <c r="L26" i="21"/>
  <c r="M26" i="21"/>
  <c r="N26" i="21"/>
  <c r="T26" i="21"/>
  <c r="V26" i="21"/>
  <c r="W26" i="21"/>
  <c r="X26" i="21"/>
  <c r="AB26" i="21"/>
  <c r="AC26" i="21"/>
  <c r="AD26" i="21"/>
  <c r="AE26" i="21"/>
  <c r="AF26" i="21"/>
  <c r="AG26" i="21"/>
  <c r="AH26" i="21"/>
  <c r="AI26" i="21"/>
  <c r="L27" i="21"/>
  <c r="M27" i="21"/>
  <c r="N27" i="21"/>
  <c r="T27" i="21"/>
  <c r="V27" i="21" s="1"/>
  <c r="W27" i="21"/>
  <c r="X27" i="21"/>
  <c r="AB27" i="21"/>
  <c r="AC27" i="21" s="1"/>
  <c r="AD27" i="21"/>
  <c r="AE27" i="21"/>
  <c r="AF27" i="21"/>
  <c r="AG27" i="21"/>
  <c r="AH27" i="21"/>
  <c r="AI27" i="21"/>
  <c r="L28" i="21"/>
  <c r="M28" i="21"/>
  <c r="N28" i="21"/>
  <c r="T28" i="21"/>
  <c r="AH28" i="21" s="1"/>
  <c r="V28" i="21"/>
  <c r="W28" i="21"/>
  <c r="X28" i="21"/>
  <c r="AB28" i="21"/>
  <c r="AD28" i="21" s="1"/>
  <c r="AC28" i="21"/>
  <c r="AE28" i="21"/>
  <c r="AF28" i="21"/>
  <c r="AG28" i="21"/>
  <c r="AI28" i="21"/>
  <c r="L29" i="21"/>
  <c r="M29" i="21"/>
  <c r="N29" i="21"/>
  <c r="T29" i="21"/>
  <c r="V29" i="21"/>
  <c r="W29" i="21"/>
  <c r="X29" i="21" s="1"/>
  <c r="AB29" i="21"/>
  <c r="AC29" i="21"/>
  <c r="AD29" i="21"/>
  <c r="AE29" i="21"/>
  <c r="AF29" i="21"/>
  <c r="AG29" i="21"/>
  <c r="AH29" i="21"/>
  <c r="AI29" i="21"/>
  <c r="L30" i="21"/>
  <c r="M30" i="21"/>
  <c r="N30" i="21"/>
  <c r="T30" i="21"/>
  <c r="V30" i="21"/>
  <c r="W30" i="21"/>
  <c r="X30" i="21"/>
  <c r="AB30" i="21"/>
  <c r="AC30" i="21"/>
  <c r="AD30" i="21"/>
  <c r="AE30" i="21"/>
  <c r="AF30" i="21"/>
  <c r="AG30" i="21"/>
  <c r="AH30" i="21"/>
  <c r="AI30" i="21"/>
  <c r="I31" i="21"/>
  <c r="J31" i="21"/>
  <c r="K31" i="21"/>
  <c r="I32" i="21" s="1"/>
  <c r="O32" i="21" s="1"/>
  <c r="I33" i="21"/>
  <c r="E39" i="21"/>
  <c r="L39" i="21"/>
  <c r="T39" i="21"/>
  <c r="V39" i="21"/>
  <c r="W39" i="21"/>
  <c r="X39" i="21"/>
  <c r="AB39" i="21"/>
  <c r="AC39" i="21"/>
  <c r="AD39" i="21"/>
  <c r="AE39" i="21"/>
  <c r="AF39" i="21" s="1"/>
  <c r="AG39" i="21"/>
  <c r="AH39" i="21" s="1"/>
  <c r="E40" i="21"/>
  <c r="L40" i="21"/>
  <c r="T40" i="21"/>
  <c r="V40" i="21" s="1"/>
  <c r="W40" i="21"/>
  <c r="X40" i="21" s="1"/>
  <c r="AB40" i="21"/>
  <c r="AC40" i="21"/>
  <c r="AD40" i="21"/>
  <c r="AE40" i="21"/>
  <c r="AF40" i="21"/>
  <c r="AG40" i="21"/>
  <c r="AH40" i="21" s="1"/>
  <c r="E41" i="21"/>
  <c r="L41" i="21"/>
  <c r="T41" i="21"/>
  <c r="V41" i="21" s="1"/>
  <c r="W41" i="21"/>
  <c r="X41" i="21"/>
  <c r="AB41" i="21"/>
  <c r="AE41" i="21"/>
  <c r="AF41" i="21"/>
  <c r="AG41" i="21"/>
  <c r="AH41" i="21" s="1"/>
  <c r="E42" i="21"/>
  <c r="L42" i="21"/>
  <c r="T42" i="21"/>
  <c r="V42" i="21" s="1"/>
  <c r="W42" i="21"/>
  <c r="X42" i="21"/>
  <c r="AB42" i="21"/>
  <c r="AE42" i="21"/>
  <c r="AF42" i="21"/>
  <c r="AG42" i="21"/>
  <c r="AH42" i="21" s="1"/>
  <c r="E43" i="21"/>
  <c r="L43" i="21"/>
  <c r="T43" i="21"/>
  <c r="V43" i="21" s="1"/>
  <c r="W43" i="21"/>
  <c r="X43" i="21"/>
  <c r="AB43" i="21"/>
  <c r="AE43" i="21"/>
  <c r="AF43" i="21"/>
  <c r="AG43" i="21"/>
  <c r="AH43" i="21"/>
  <c r="E44" i="21"/>
  <c r="L44" i="21"/>
  <c r="L59" i="21" s="1"/>
  <c r="P3" i="21" s="1"/>
  <c r="T44" i="21"/>
  <c r="V44" i="21"/>
  <c r="W44" i="21"/>
  <c r="X44" i="21"/>
  <c r="AB44" i="21"/>
  <c r="AC44" i="21"/>
  <c r="AD44" i="21"/>
  <c r="AE44" i="21"/>
  <c r="AF44" i="21" s="1"/>
  <c r="AG44" i="21"/>
  <c r="AH44" i="21"/>
  <c r="E45" i="21"/>
  <c r="L45" i="21"/>
  <c r="T45" i="21"/>
  <c r="V45" i="21"/>
  <c r="W45" i="21"/>
  <c r="X45" i="21" s="1"/>
  <c r="AB45" i="21"/>
  <c r="AC45" i="21"/>
  <c r="AD45" i="21"/>
  <c r="AE45" i="21"/>
  <c r="AF45" i="21"/>
  <c r="AG45" i="21"/>
  <c r="AH45" i="21"/>
  <c r="E46" i="21"/>
  <c r="L46" i="21"/>
  <c r="T46" i="21"/>
  <c r="V46" i="21"/>
  <c r="W46" i="21"/>
  <c r="X46" i="21"/>
  <c r="AB46" i="21"/>
  <c r="AD46" i="21" s="1"/>
  <c r="AC46" i="21"/>
  <c r="AE46" i="21"/>
  <c r="AF46" i="21"/>
  <c r="AG46" i="21"/>
  <c r="AH46" i="21" s="1"/>
  <c r="E47" i="21"/>
  <c r="L47" i="21"/>
  <c r="T47" i="21"/>
  <c r="V47" i="21" s="1"/>
  <c r="W47" i="21"/>
  <c r="X47" i="21"/>
  <c r="AB47" i="21"/>
  <c r="AE47" i="21"/>
  <c r="AF47" i="21" s="1"/>
  <c r="AG47" i="21"/>
  <c r="AH47" i="21"/>
  <c r="E48" i="21"/>
  <c r="L48" i="21"/>
  <c r="T48" i="21"/>
  <c r="V48" i="21"/>
  <c r="W48" i="21"/>
  <c r="X48" i="21" s="1"/>
  <c r="AB48" i="21"/>
  <c r="AC48" i="21"/>
  <c r="AD48" i="21"/>
  <c r="AE48" i="21"/>
  <c r="AF48" i="21" s="1"/>
  <c r="AG48" i="21"/>
  <c r="AH48" i="21"/>
  <c r="E49" i="21"/>
  <c r="L49" i="21"/>
  <c r="T49" i="21"/>
  <c r="V49" i="21"/>
  <c r="W49" i="21"/>
  <c r="X49" i="21" s="1"/>
  <c r="AB49" i="21"/>
  <c r="AC49" i="21"/>
  <c r="AD49" i="21"/>
  <c r="AE49" i="21"/>
  <c r="AF49" i="21"/>
  <c r="AG49" i="21"/>
  <c r="AH49" i="21"/>
  <c r="E50" i="21"/>
  <c r="L50" i="21"/>
  <c r="T50" i="21"/>
  <c r="V50" i="21"/>
  <c r="W50" i="21"/>
  <c r="X50" i="21"/>
  <c r="AB50" i="21"/>
  <c r="AD50" i="21" s="1"/>
  <c r="AC50" i="21"/>
  <c r="AE50" i="21"/>
  <c r="AF50" i="21"/>
  <c r="AG50" i="21"/>
  <c r="AH50" i="21" s="1"/>
  <c r="E51" i="21"/>
  <c r="L51" i="21"/>
  <c r="T51" i="21"/>
  <c r="V51" i="21" s="1"/>
  <c r="W51" i="21"/>
  <c r="X51" i="21"/>
  <c r="AB51" i="21"/>
  <c r="AE51" i="21"/>
  <c r="AF51" i="21"/>
  <c r="AG51" i="21"/>
  <c r="AH51" i="21"/>
  <c r="E52" i="21"/>
  <c r="L52" i="21"/>
  <c r="T52" i="21"/>
  <c r="V52" i="21"/>
  <c r="W52" i="21"/>
  <c r="X52" i="21"/>
  <c r="AB52" i="21"/>
  <c r="AC52" i="21"/>
  <c r="AD52" i="21"/>
  <c r="AE52" i="21"/>
  <c r="AF52" i="21" s="1"/>
  <c r="AG52" i="21"/>
  <c r="AH52" i="21"/>
  <c r="E53" i="21"/>
  <c r="L53" i="21"/>
  <c r="T53" i="21"/>
  <c r="V53" i="21"/>
  <c r="W53" i="21"/>
  <c r="X53" i="21" s="1"/>
  <c r="AB53" i="21"/>
  <c r="AC53" i="21"/>
  <c r="AD53" i="21"/>
  <c r="AE53" i="21"/>
  <c r="AF53" i="21"/>
  <c r="AG53" i="21"/>
  <c r="AH53" i="21"/>
  <c r="E54" i="21"/>
  <c r="L54" i="21"/>
  <c r="T54" i="21"/>
  <c r="V54" i="21"/>
  <c r="W54" i="21"/>
  <c r="X54" i="21"/>
  <c r="AB54" i="21"/>
  <c r="AD54" i="21" s="1"/>
  <c r="AC54" i="21"/>
  <c r="AE54" i="21"/>
  <c r="AF54" i="21"/>
  <c r="AG54" i="21"/>
  <c r="AH54" i="21" s="1"/>
  <c r="E55" i="21"/>
  <c r="L55" i="21"/>
  <c r="T55" i="21"/>
  <c r="V55" i="21" s="1"/>
  <c r="W55" i="21"/>
  <c r="X55" i="21"/>
  <c r="AB55" i="21"/>
  <c r="AE55" i="21"/>
  <c r="AF55" i="21"/>
  <c r="AG55" i="21"/>
  <c r="AH55" i="21"/>
  <c r="E56" i="21"/>
  <c r="L56" i="21"/>
  <c r="T56" i="21"/>
  <c r="V56" i="21"/>
  <c r="W56" i="21"/>
  <c r="X56" i="21"/>
  <c r="AB56" i="21"/>
  <c r="AC56" i="21"/>
  <c r="AD56" i="21"/>
  <c r="AE56" i="21"/>
  <c r="AF56" i="21" s="1"/>
  <c r="AG56" i="21"/>
  <c r="AH56" i="21"/>
  <c r="E57" i="21"/>
  <c r="L57" i="21"/>
  <c r="T57" i="21"/>
  <c r="V57" i="21"/>
  <c r="W57" i="21"/>
  <c r="X57" i="21" s="1"/>
  <c r="AB57" i="21"/>
  <c r="AC57" i="21"/>
  <c r="AD57" i="21"/>
  <c r="AE57" i="21"/>
  <c r="AF57" i="21"/>
  <c r="AG57" i="21"/>
  <c r="AH57" i="21" s="1"/>
  <c r="E58" i="21"/>
  <c r="L58" i="21"/>
  <c r="T58" i="21"/>
  <c r="V58" i="21" s="1"/>
  <c r="W58" i="21"/>
  <c r="X58" i="21"/>
  <c r="AB58" i="21"/>
  <c r="AE58" i="21"/>
  <c r="AF58" i="21"/>
  <c r="AG58" i="21"/>
  <c r="AH58" i="21" s="1"/>
  <c r="I59" i="21"/>
  <c r="I60" i="21"/>
  <c r="D66" i="21"/>
  <c r="C66" i="21" s="1"/>
  <c r="E66" i="21"/>
  <c r="H66" i="21"/>
  <c r="AN66" i="21" s="1"/>
  <c r="I66" i="21"/>
  <c r="J66" i="21"/>
  <c r="L66" i="21"/>
  <c r="M66" i="21"/>
  <c r="U66" i="21"/>
  <c r="V66" i="21"/>
  <c r="W66" i="21"/>
  <c r="AB66" i="21"/>
  <c r="AC66" i="21"/>
  <c r="AD66" i="21"/>
  <c r="AE66" i="21" s="1"/>
  <c r="AF66" i="21"/>
  <c r="AG66" i="21"/>
  <c r="AH66" i="21" s="1"/>
  <c r="AQ66" i="21"/>
  <c r="AR66" i="21"/>
  <c r="AS66" i="21"/>
  <c r="AT66" i="21" s="1"/>
  <c r="AU66" i="21"/>
  <c r="AV66" i="21"/>
  <c r="AW66" i="21"/>
  <c r="AX66" i="21"/>
  <c r="BC66" i="21"/>
  <c r="BK66" i="21"/>
  <c r="C67" i="21"/>
  <c r="D67" i="21"/>
  <c r="H67" i="21"/>
  <c r="AN67" i="21" s="1"/>
  <c r="AO67" i="21" s="1"/>
  <c r="I67" i="21"/>
  <c r="J67" i="21"/>
  <c r="T67" i="21"/>
  <c r="U67" i="21"/>
  <c r="W67" i="21"/>
  <c r="X67" i="21"/>
  <c r="AB67" i="21"/>
  <c r="AC67" i="21"/>
  <c r="AG67" i="21"/>
  <c r="AH67" i="21"/>
  <c r="AI67" i="21"/>
  <c r="AJ67" i="21" s="1"/>
  <c r="AP67" i="21"/>
  <c r="AU67" i="21"/>
  <c r="AV67" i="21"/>
  <c r="AW67" i="21"/>
  <c r="AX67" i="21"/>
  <c r="D68" i="21"/>
  <c r="I68" i="21"/>
  <c r="J68" i="21"/>
  <c r="M68" i="21"/>
  <c r="T68" i="21"/>
  <c r="U68" i="21"/>
  <c r="X68" i="21"/>
  <c r="AF68" i="21"/>
  <c r="AI68" i="21"/>
  <c r="AJ68" i="21" s="1"/>
  <c r="AQ68" i="21"/>
  <c r="AR68" i="21" s="1"/>
  <c r="AX68" i="21"/>
  <c r="E68" i="21" s="1"/>
  <c r="BB68" i="21"/>
  <c r="BR68" i="21"/>
  <c r="D69" i="21"/>
  <c r="E69" i="21"/>
  <c r="I69" i="21"/>
  <c r="J69" i="21"/>
  <c r="L69" i="21"/>
  <c r="M69" i="21"/>
  <c r="U69" i="21"/>
  <c r="AB69" i="21"/>
  <c r="AC69" i="21"/>
  <c r="AD69" i="21" s="1"/>
  <c r="AE69" i="21" s="1"/>
  <c r="AF69" i="21"/>
  <c r="AQ69" i="21"/>
  <c r="AR69" i="21" s="1"/>
  <c r="AU69" i="21"/>
  <c r="AV69" i="21"/>
  <c r="AX69" i="21"/>
  <c r="BB69" i="21"/>
  <c r="BC69" i="21"/>
  <c r="BG69" i="21"/>
  <c r="BO69" i="21"/>
  <c r="D70" i="21"/>
  <c r="C70" i="21" s="1"/>
  <c r="E70" i="21"/>
  <c r="H70" i="21"/>
  <c r="AN70" i="21" s="1"/>
  <c r="I70" i="21"/>
  <c r="J70" i="21"/>
  <c r="L70" i="21"/>
  <c r="M70" i="21"/>
  <c r="U70" i="21"/>
  <c r="V70" i="21"/>
  <c r="W70" i="21"/>
  <c r="AB70" i="21"/>
  <c r="AC70" i="21"/>
  <c r="AD70" i="21" s="1"/>
  <c r="AE70" i="21" s="1"/>
  <c r="AF70" i="21"/>
  <c r="AG70" i="21"/>
  <c r="AH70" i="21"/>
  <c r="AQ70" i="21"/>
  <c r="AR70" i="21"/>
  <c r="AS70" i="21"/>
  <c r="AT70" i="21" s="1"/>
  <c r="AU70" i="21"/>
  <c r="AV70" i="21"/>
  <c r="AW70" i="21"/>
  <c r="AX70" i="21"/>
  <c r="BC70" i="21"/>
  <c r="BG70" i="21"/>
  <c r="BO70" i="21"/>
  <c r="C71" i="21"/>
  <c r="D71" i="21"/>
  <c r="H71" i="21"/>
  <c r="AN71" i="21" s="1"/>
  <c r="AO71" i="21" s="1"/>
  <c r="I71" i="21"/>
  <c r="J71" i="21"/>
  <c r="L71" i="21"/>
  <c r="M71" i="21"/>
  <c r="T71" i="21"/>
  <c r="U71" i="21"/>
  <c r="V71" i="21"/>
  <c r="W71" i="21"/>
  <c r="X71" i="21"/>
  <c r="AB71" i="21"/>
  <c r="AC71" i="21"/>
  <c r="AD71" i="21"/>
  <c r="AE71" i="21"/>
  <c r="AF71" i="21"/>
  <c r="AG71" i="21"/>
  <c r="AH71" i="21"/>
  <c r="AI71" i="21"/>
  <c r="AJ71" i="21" s="1"/>
  <c r="AQ71" i="21"/>
  <c r="AR71" i="21"/>
  <c r="AS71" i="21"/>
  <c r="AT71" i="21"/>
  <c r="AU71" i="21"/>
  <c r="AV71" i="21"/>
  <c r="AW71" i="21"/>
  <c r="AX71" i="21"/>
  <c r="E71" i="21" s="1"/>
  <c r="D72" i="21"/>
  <c r="I72" i="21"/>
  <c r="J72" i="21"/>
  <c r="M72" i="21"/>
  <c r="T72" i="21"/>
  <c r="U72" i="21"/>
  <c r="X72" i="21"/>
  <c r="AF72" i="21"/>
  <c r="AI72" i="21"/>
  <c r="AJ72" i="21" s="1"/>
  <c r="AQ72" i="21"/>
  <c r="AR72" i="21" s="1"/>
  <c r="AX72" i="21"/>
  <c r="E72" i="21" s="1"/>
  <c r="BB72" i="21"/>
  <c r="BR72" i="21"/>
  <c r="D73" i="21"/>
  <c r="E73" i="21"/>
  <c r="I73" i="21"/>
  <c r="J73" i="21"/>
  <c r="L73" i="21"/>
  <c r="M73" i="21"/>
  <c r="U73" i="21"/>
  <c r="AB73" i="21"/>
  <c r="AC73" i="21"/>
  <c r="AD73" i="21" s="1"/>
  <c r="AE73" i="21" s="1"/>
  <c r="AF73" i="21"/>
  <c r="AQ73" i="21"/>
  <c r="AR73" i="21" s="1"/>
  <c r="AU73" i="21"/>
  <c r="AV73" i="21"/>
  <c r="AX73" i="21"/>
  <c r="BB73" i="21"/>
  <c r="BC73" i="21"/>
  <c r="BG73" i="21"/>
  <c r="BK73" i="21"/>
  <c r="BO73" i="21"/>
  <c r="D74" i="21"/>
  <c r="C74" i="21" s="1"/>
  <c r="E74" i="21"/>
  <c r="H74" i="21"/>
  <c r="AN74" i="21" s="1"/>
  <c r="I74" i="21"/>
  <c r="J74" i="21"/>
  <c r="L74" i="21"/>
  <c r="M74" i="21"/>
  <c r="U74" i="21"/>
  <c r="V74" i="21"/>
  <c r="W74" i="21"/>
  <c r="AB74" i="21"/>
  <c r="AC74" i="21"/>
  <c r="AD74" i="21" s="1"/>
  <c r="AE74" i="21" s="1"/>
  <c r="AF74" i="21"/>
  <c r="AG74" i="21"/>
  <c r="AH74" i="21"/>
  <c r="AQ74" i="21"/>
  <c r="AR74" i="21"/>
  <c r="AS74" i="21"/>
  <c r="AT74" i="21" s="1"/>
  <c r="AU74" i="21"/>
  <c r="AV74" i="21"/>
  <c r="AW74" i="21"/>
  <c r="AX74" i="21"/>
  <c r="BC74" i="21"/>
  <c r="BG74" i="21"/>
  <c r="BK74" i="21"/>
  <c r="BO74" i="21"/>
  <c r="C75" i="21"/>
  <c r="D75" i="21"/>
  <c r="H75" i="21"/>
  <c r="AN75" i="21" s="1"/>
  <c r="AO75" i="21" s="1"/>
  <c r="I75" i="21"/>
  <c r="J75" i="21"/>
  <c r="L75" i="21"/>
  <c r="M75" i="21"/>
  <c r="T75" i="21"/>
  <c r="U75" i="21"/>
  <c r="V75" i="21"/>
  <c r="W75" i="21"/>
  <c r="X75" i="21"/>
  <c r="AB75" i="21"/>
  <c r="AC75" i="21"/>
  <c r="AD75" i="21"/>
  <c r="AE75" i="21"/>
  <c r="AF75" i="21"/>
  <c r="AG75" i="21"/>
  <c r="AH75" i="21"/>
  <c r="AI75" i="21"/>
  <c r="AJ75" i="21" s="1"/>
  <c r="AQ75" i="21"/>
  <c r="AR75" i="21"/>
  <c r="AS75" i="21"/>
  <c r="AT75" i="21"/>
  <c r="AU75" i="21"/>
  <c r="AV75" i="21"/>
  <c r="AW75" i="21"/>
  <c r="BK69" i="21" s="1"/>
  <c r="AX75" i="21"/>
  <c r="E75" i="21" s="1"/>
  <c r="D76" i="21"/>
  <c r="I76" i="21"/>
  <c r="J76" i="21"/>
  <c r="M76" i="21"/>
  <c r="T76" i="21"/>
  <c r="U76" i="21"/>
  <c r="X76" i="21"/>
  <c r="AF76" i="21"/>
  <c r="AI76" i="21"/>
  <c r="AJ76" i="21" s="1"/>
  <c r="AQ76" i="21"/>
  <c r="AR76" i="21" s="1"/>
  <c r="AX76" i="21"/>
  <c r="E76" i="21" s="1"/>
  <c r="BB76" i="21"/>
  <c r="BR76" i="21"/>
  <c r="D77" i="21"/>
  <c r="E77" i="21"/>
  <c r="I77" i="21"/>
  <c r="J77" i="21"/>
  <c r="L77" i="21"/>
  <c r="M77" i="21"/>
  <c r="U77" i="21"/>
  <c r="AB77" i="21"/>
  <c r="AC77" i="21"/>
  <c r="AD77" i="21" s="1"/>
  <c r="AE77" i="21" s="1"/>
  <c r="AF77" i="21"/>
  <c r="AQ77" i="21"/>
  <c r="AR77" i="21" s="1"/>
  <c r="AU77" i="21"/>
  <c r="AV77" i="21"/>
  <c r="AX77" i="21"/>
  <c r="BB77" i="21"/>
  <c r="BC77" i="21"/>
  <c r="BG77" i="21"/>
  <c r="BK77" i="21"/>
  <c r="BO77" i="21"/>
  <c r="D78" i="21"/>
  <c r="C78" i="21" s="1"/>
  <c r="E78" i="21"/>
  <c r="H78" i="21"/>
  <c r="AN78" i="21" s="1"/>
  <c r="I78" i="21"/>
  <c r="J78" i="21"/>
  <c r="L78" i="21"/>
  <c r="M78" i="21"/>
  <c r="T78" i="21"/>
  <c r="U78" i="21"/>
  <c r="V78" i="21"/>
  <c r="W78" i="21"/>
  <c r="X78" i="21"/>
  <c r="AB78" i="21"/>
  <c r="AC78" i="21"/>
  <c r="AD78" i="21"/>
  <c r="AE78" i="21" s="1"/>
  <c r="AF78" i="21"/>
  <c r="AG78" i="21"/>
  <c r="AH78" i="21"/>
  <c r="AI78" i="21"/>
  <c r="AJ78" i="21"/>
  <c r="AQ78" i="21"/>
  <c r="AR78" i="21"/>
  <c r="AS78" i="21"/>
  <c r="AT78" i="21" s="1"/>
  <c r="AU78" i="21"/>
  <c r="AV78" i="21"/>
  <c r="AW78" i="21"/>
  <c r="AX78" i="21"/>
  <c r="BC78" i="21"/>
  <c r="BG78" i="21"/>
  <c r="BK78" i="21"/>
  <c r="BO78" i="21"/>
  <c r="C79" i="21"/>
  <c r="D79" i="21"/>
  <c r="H79" i="21"/>
  <c r="AN79" i="21" s="1"/>
  <c r="AO79" i="21" s="1"/>
  <c r="I79" i="21"/>
  <c r="J79" i="21"/>
  <c r="L79" i="21"/>
  <c r="M79" i="21"/>
  <c r="T79" i="21"/>
  <c r="U79" i="21"/>
  <c r="V79" i="21"/>
  <c r="W79" i="21"/>
  <c r="X79" i="21"/>
  <c r="AB79" i="21"/>
  <c r="AC79" i="21"/>
  <c r="AD79" i="21"/>
  <c r="AE79" i="21"/>
  <c r="AF79" i="21"/>
  <c r="AG79" i="21"/>
  <c r="AH79" i="21"/>
  <c r="AI79" i="21"/>
  <c r="AJ79" i="21" s="1"/>
  <c r="AQ79" i="21"/>
  <c r="AR79" i="21" s="1"/>
  <c r="AS79" i="21"/>
  <c r="AT79" i="21" s="1"/>
  <c r="AU79" i="21"/>
  <c r="AV79" i="21" s="1"/>
  <c r="AW79" i="21"/>
  <c r="AX79" i="21"/>
  <c r="E79" i="21" s="1"/>
  <c r="D80" i="21"/>
  <c r="I80" i="21"/>
  <c r="J80" i="21"/>
  <c r="M80" i="21"/>
  <c r="AX80" i="21"/>
  <c r="E80" i="21" s="1"/>
  <c r="BB80" i="21"/>
  <c r="D81" i="21"/>
  <c r="E81" i="21"/>
  <c r="I81" i="21"/>
  <c r="J81" i="21"/>
  <c r="L81" i="21"/>
  <c r="M81" i="21"/>
  <c r="AB81" i="21"/>
  <c r="AU81" i="21"/>
  <c r="AV81" i="21" s="1"/>
  <c r="AX81" i="21"/>
  <c r="BB81" i="21"/>
  <c r="BC81" i="21"/>
  <c r="BG81" i="21"/>
  <c r="BK81" i="21"/>
  <c r="BR81" i="21"/>
  <c r="D82" i="21"/>
  <c r="C82" i="21" s="1"/>
  <c r="E82" i="21"/>
  <c r="H82" i="21"/>
  <c r="I82" i="21"/>
  <c r="J82" i="21"/>
  <c r="L82" i="21"/>
  <c r="M82" i="21"/>
  <c r="T82" i="21"/>
  <c r="U82" i="21"/>
  <c r="V82" i="21"/>
  <c r="W82" i="21"/>
  <c r="X82" i="21"/>
  <c r="AB82" i="21"/>
  <c r="AC82" i="21"/>
  <c r="AD82" i="21" s="1"/>
  <c r="AE82" i="21" s="1"/>
  <c r="AF82" i="21"/>
  <c r="AG82" i="21"/>
  <c r="AH82" i="21"/>
  <c r="AI82" i="21"/>
  <c r="AJ82" i="21"/>
  <c r="AN82" i="21"/>
  <c r="AP82" i="21" s="1"/>
  <c r="AO82" i="21"/>
  <c r="AQ82" i="21"/>
  <c r="AR82" i="21"/>
  <c r="AS82" i="21"/>
  <c r="AT82" i="21" s="1"/>
  <c r="AU82" i="21"/>
  <c r="AV82" i="21"/>
  <c r="AW82" i="21"/>
  <c r="AX82" i="21"/>
  <c r="BC82" i="21"/>
  <c r="BG82" i="21"/>
  <c r="BK82" i="21"/>
  <c r="C83" i="21"/>
  <c r="D83" i="21"/>
  <c r="H83" i="21"/>
  <c r="AN83" i="21" s="1"/>
  <c r="I83" i="21"/>
  <c r="J83" i="21"/>
  <c r="L83" i="21"/>
  <c r="M83" i="21"/>
  <c r="T83" i="21"/>
  <c r="U83" i="21"/>
  <c r="V83" i="21"/>
  <c r="W83" i="21"/>
  <c r="X83" i="21"/>
  <c r="AB83" i="21"/>
  <c r="AC83" i="21"/>
  <c r="AD83" i="21"/>
  <c r="AE83" i="21"/>
  <c r="AF83" i="21"/>
  <c r="AG83" i="21"/>
  <c r="AH83" i="21"/>
  <c r="AI83" i="21"/>
  <c r="AJ83" i="21" s="1"/>
  <c r="AO83" i="21"/>
  <c r="AP83" i="21"/>
  <c r="AQ83" i="21"/>
  <c r="AR83" i="21"/>
  <c r="AS83" i="21"/>
  <c r="AT83" i="21" s="1"/>
  <c r="AU83" i="21"/>
  <c r="AV83" i="21"/>
  <c r="AW83" i="21"/>
  <c r="BS85" i="21" s="1"/>
  <c r="AX83" i="21"/>
  <c r="E83" i="21" s="1"/>
  <c r="D84" i="21"/>
  <c r="AB84" i="21" s="1"/>
  <c r="I84" i="21"/>
  <c r="J84" i="21"/>
  <c r="M84" i="21"/>
  <c r="T84" i="21"/>
  <c r="AU84" i="21"/>
  <c r="AV84" i="21" s="1"/>
  <c r="AX84" i="21"/>
  <c r="E84" i="21" s="1"/>
  <c r="BB84" i="21"/>
  <c r="BF84" i="21"/>
  <c r="D85" i="21"/>
  <c r="E85" i="21"/>
  <c r="I85" i="21"/>
  <c r="J85" i="21"/>
  <c r="L85" i="21"/>
  <c r="M85" i="21"/>
  <c r="AB85" i="21"/>
  <c r="AG85" i="21"/>
  <c r="AH85" i="21" s="1"/>
  <c r="AU85" i="21"/>
  <c r="AV85" i="21" s="1"/>
  <c r="AX85" i="21"/>
  <c r="BB85" i="21"/>
  <c r="BC85" i="21"/>
  <c r="BG85" i="21"/>
  <c r="BJ85" i="21"/>
  <c r="BK85" i="21"/>
  <c r="BR85" i="21"/>
  <c r="E103" i="21"/>
  <c r="E104" i="21"/>
  <c r="E106" i="21"/>
  <c r="E107" i="21"/>
  <c r="E110" i="21"/>
  <c r="E111" i="21"/>
  <c r="E113" i="21"/>
  <c r="C2" i="22"/>
  <c r="L11" i="22"/>
  <c r="M11" i="22"/>
  <c r="N11" i="22"/>
  <c r="T11" i="22"/>
  <c r="W11" i="22"/>
  <c r="X11" i="22"/>
  <c r="AB11" i="22"/>
  <c r="AE11" i="22"/>
  <c r="AF11" i="22"/>
  <c r="AG11" i="22"/>
  <c r="AI11" i="22"/>
  <c r="AJ11" i="22" a="1"/>
  <c r="AJ11" i="22" s="1"/>
  <c r="AR11" i="22"/>
  <c r="L12" i="22"/>
  <c r="M12" i="22"/>
  <c r="N12" i="22"/>
  <c r="T12" i="22"/>
  <c r="V12" i="22"/>
  <c r="W12" i="22"/>
  <c r="X12" i="22" s="1"/>
  <c r="AB12" i="22"/>
  <c r="AC12" i="22"/>
  <c r="AD12" i="22"/>
  <c r="AE12" i="22"/>
  <c r="AF12" i="22"/>
  <c r="AG12" i="22"/>
  <c r="AH12" i="22"/>
  <c r="AI12" i="22"/>
  <c r="AR12" i="22"/>
  <c r="L13" i="22"/>
  <c r="M13" i="22"/>
  <c r="N13" i="22"/>
  <c r="T13" i="22"/>
  <c r="V13" i="22"/>
  <c r="W13" i="22"/>
  <c r="X13" i="22" s="1"/>
  <c r="AB13" i="22"/>
  <c r="AC13" i="22"/>
  <c r="AD13" i="22"/>
  <c r="AE13" i="22"/>
  <c r="AF13" i="22"/>
  <c r="AG13" i="22"/>
  <c r="AH13" i="22"/>
  <c r="AI13" i="22"/>
  <c r="AR13" i="22"/>
  <c r="L14" i="22"/>
  <c r="M14" i="22"/>
  <c r="N14" i="22"/>
  <c r="T14" i="22"/>
  <c r="V14" i="22"/>
  <c r="W14" i="22"/>
  <c r="X14" i="22" s="1"/>
  <c r="AB14" i="22"/>
  <c r="AC14" i="22"/>
  <c r="AD14" i="22"/>
  <c r="AE14" i="22"/>
  <c r="AF14" i="22"/>
  <c r="AG14" i="22"/>
  <c r="AH14" i="22"/>
  <c r="AI14" i="22"/>
  <c r="AR14" i="22"/>
  <c r="L15" i="22"/>
  <c r="M15" i="22"/>
  <c r="N15" i="22"/>
  <c r="T15" i="22"/>
  <c r="V15" i="22"/>
  <c r="W15" i="22"/>
  <c r="X15" i="22" s="1"/>
  <c r="AB15" i="22"/>
  <c r="AC15" i="22"/>
  <c r="AD15" i="22"/>
  <c r="AE15" i="22"/>
  <c r="AF15" i="22"/>
  <c r="AG15" i="22"/>
  <c r="AH15" i="22"/>
  <c r="AI15" i="22"/>
  <c r="AR15" i="22"/>
  <c r="L16" i="22"/>
  <c r="M16" i="22"/>
  <c r="N16" i="22"/>
  <c r="T16" i="22"/>
  <c r="V16" i="22"/>
  <c r="W16" i="22"/>
  <c r="X16" i="22" s="1"/>
  <c r="AB16" i="22"/>
  <c r="AC16" i="22"/>
  <c r="AD16" i="22"/>
  <c r="AE16" i="22"/>
  <c r="AF16" i="22"/>
  <c r="AG16" i="22"/>
  <c r="AH16" i="22"/>
  <c r="AI16" i="22"/>
  <c r="AR16" i="22"/>
  <c r="L17" i="22"/>
  <c r="M17" i="22"/>
  <c r="N17" i="22"/>
  <c r="T17" i="22"/>
  <c r="V17" i="22"/>
  <c r="W17" i="22"/>
  <c r="X17" i="22" s="1"/>
  <c r="AB17" i="22"/>
  <c r="AC17" i="22"/>
  <c r="AD17" i="22"/>
  <c r="AE17" i="22"/>
  <c r="AF17" i="22"/>
  <c r="AG17" i="22"/>
  <c r="AH17" i="22"/>
  <c r="AI17" i="22"/>
  <c r="AR17" i="22"/>
  <c r="L18" i="22"/>
  <c r="M18" i="22"/>
  <c r="N18" i="22"/>
  <c r="T18" i="22"/>
  <c r="V18" i="22"/>
  <c r="W18" i="22"/>
  <c r="X18" i="22" s="1"/>
  <c r="AB18" i="22"/>
  <c r="AC18" i="22"/>
  <c r="AD18" i="22"/>
  <c r="AE18" i="22"/>
  <c r="AF18" i="22"/>
  <c r="AG18" i="22"/>
  <c r="AH18" i="22"/>
  <c r="AI18" i="22"/>
  <c r="AR18" i="22"/>
  <c r="L19" i="22"/>
  <c r="M19" i="22"/>
  <c r="N19" i="22"/>
  <c r="T19" i="22"/>
  <c r="V19" i="22"/>
  <c r="W19" i="22"/>
  <c r="X19" i="22"/>
  <c r="AB19" i="22"/>
  <c r="AC19" i="22"/>
  <c r="AD19" i="22"/>
  <c r="AE19" i="22"/>
  <c r="AF19" i="22"/>
  <c r="AG19" i="22"/>
  <c r="AH19" i="22"/>
  <c r="AI19" i="22"/>
  <c r="AR19" i="22"/>
  <c r="L20" i="22"/>
  <c r="M20" i="22"/>
  <c r="N20" i="22"/>
  <c r="T20" i="22"/>
  <c r="V20" i="22"/>
  <c r="W20" i="22"/>
  <c r="X20" i="22"/>
  <c r="AB20" i="22"/>
  <c r="AC20" i="22"/>
  <c r="AD20" i="22"/>
  <c r="AE20" i="22"/>
  <c r="AF20" i="22"/>
  <c r="AG20" i="22"/>
  <c r="AH20" i="22"/>
  <c r="AI20" i="22"/>
  <c r="AR20" i="22"/>
  <c r="L21" i="22"/>
  <c r="M21" i="22"/>
  <c r="N21" i="22"/>
  <c r="T21" i="22"/>
  <c r="V21" i="22"/>
  <c r="W21" i="22"/>
  <c r="X21" i="22"/>
  <c r="AB21" i="22"/>
  <c r="AC21" i="22"/>
  <c r="AD21" i="22"/>
  <c r="AE21" i="22"/>
  <c r="AF21" i="22"/>
  <c r="AG21" i="22"/>
  <c r="AH21" i="22"/>
  <c r="AI21" i="22"/>
  <c r="AR21" i="22"/>
  <c r="L22" i="22"/>
  <c r="M22" i="22"/>
  <c r="N22" i="22"/>
  <c r="T22" i="22"/>
  <c r="V22" i="22"/>
  <c r="W22" i="22"/>
  <c r="X22" i="22"/>
  <c r="AB22" i="22"/>
  <c r="AC22" i="22"/>
  <c r="AD22" i="22"/>
  <c r="AE22" i="22"/>
  <c r="AF22" i="22"/>
  <c r="AG22" i="22"/>
  <c r="AH22" i="22"/>
  <c r="AI22" i="22"/>
  <c r="AR22" i="22"/>
  <c r="L23" i="22"/>
  <c r="M23" i="22"/>
  <c r="N23" i="22"/>
  <c r="T23" i="22"/>
  <c r="V23" i="22"/>
  <c r="W23" i="22"/>
  <c r="X23" i="22"/>
  <c r="AB23" i="22"/>
  <c r="AC23" i="22"/>
  <c r="AD23" i="22"/>
  <c r="AE23" i="22"/>
  <c r="AF23" i="22"/>
  <c r="AG23" i="22"/>
  <c r="AH23" i="22"/>
  <c r="AI23" i="22"/>
  <c r="AR23" i="22"/>
  <c r="L24" i="22"/>
  <c r="M24" i="22"/>
  <c r="N24" i="22"/>
  <c r="T24" i="22"/>
  <c r="V24" i="22"/>
  <c r="W24" i="22"/>
  <c r="X24" i="22"/>
  <c r="AB24" i="22"/>
  <c r="AC24" i="22"/>
  <c r="AD24" i="22"/>
  <c r="AE24" i="22"/>
  <c r="AF24" i="22"/>
  <c r="AG24" i="22"/>
  <c r="AH24" i="22"/>
  <c r="AI24" i="22"/>
  <c r="AR24" i="22"/>
  <c r="L25" i="22"/>
  <c r="M25" i="22"/>
  <c r="N25" i="22"/>
  <c r="T25" i="22"/>
  <c r="V25" i="22"/>
  <c r="W25" i="22"/>
  <c r="X25" i="22"/>
  <c r="AB25" i="22"/>
  <c r="AC25" i="22"/>
  <c r="AD25" i="22"/>
  <c r="AE25" i="22"/>
  <c r="AF25" i="22"/>
  <c r="AG25" i="22"/>
  <c r="AH25" i="22"/>
  <c r="AI25" i="22"/>
  <c r="AR25" i="22"/>
  <c r="L26" i="22"/>
  <c r="M26" i="22"/>
  <c r="N26" i="22"/>
  <c r="T26" i="22"/>
  <c r="V26" i="22"/>
  <c r="W26" i="22"/>
  <c r="X26" i="22"/>
  <c r="AB26" i="22"/>
  <c r="AC26" i="22"/>
  <c r="AD26" i="22"/>
  <c r="AE26" i="22"/>
  <c r="AF26" i="22"/>
  <c r="AG26" i="22"/>
  <c r="AH26" i="22"/>
  <c r="AI26" i="22"/>
  <c r="AR26" i="22"/>
  <c r="L27" i="22"/>
  <c r="M27" i="22"/>
  <c r="N27" i="22"/>
  <c r="T27" i="22"/>
  <c r="V27" i="22"/>
  <c r="W27" i="22"/>
  <c r="X27" i="22"/>
  <c r="AB27" i="22"/>
  <c r="AC27" i="22"/>
  <c r="AD27" i="22"/>
  <c r="AE27" i="22"/>
  <c r="AF27" i="22"/>
  <c r="AG27" i="22"/>
  <c r="AH27" i="22"/>
  <c r="AI27" i="22"/>
  <c r="AR27" i="22"/>
  <c r="L28" i="22"/>
  <c r="M28" i="22"/>
  <c r="N28" i="22"/>
  <c r="T28" i="22"/>
  <c r="V28" i="22"/>
  <c r="W28" i="22"/>
  <c r="X28" i="22"/>
  <c r="AB28" i="22"/>
  <c r="AC28" i="22"/>
  <c r="AD28" i="22"/>
  <c r="AE28" i="22"/>
  <c r="AF28" i="22"/>
  <c r="AG28" i="22"/>
  <c r="AH28" i="22"/>
  <c r="AI28" i="22"/>
  <c r="AR28" i="22"/>
  <c r="L29" i="22"/>
  <c r="M29" i="22"/>
  <c r="N29" i="22"/>
  <c r="T29" i="22"/>
  <c r="V29" i="22"/>
  <c r="W29" i="22"/>
  <c r="X29" i="22"/>
  <c r="AB29" i="22"/>
  <c r="AC29" i="22"/>
  <c r="AD29" i="22"/>
  <c r="AE29" i="22"/>
  <c r="AF29" i="22"/>
  <c r="AG29" i="22"/>
  <c r="AH29" i="22"/>
  <c r="AI29" i="22"/>
  <c r="AR29" i="22"/>
  <c r="L30" i="22"/>
  <c r="M30" i="22"/>
  <c r="N30" i="22"/>
  <c r="T30" i="22"/>
  <c r="V30" i="22"/>
  <c r="W30" i="22"/>
  <c r="X30" i="22"/>
  <c r="AB30" i="22"/>
  <c r="AC30" i="22"/>
  <c r="AD30" i="22"/>
  <c r="AE30" i="22"/>
  <c r="AF30" i="22"/>
  <c r="AG30" i="22"/>
  <c r="AH30" i="22"/>
  <c r="AI30" i="22"/>
  <c r="AR30" i="22"/>
  <c r="I31" i="22"/>
  <c r="J31" i="22"/>
  <c r="K31" i="22"/>
  <c r="N31" i="22"/>
  <c r="P2" i="22" s="1"/>
  <c r="O32" i="22"/>
  <c r="E39" i="22"/>
  <c r="L39" i="22"/>
  <c r="T39" i="22"/>
  <c r="V39" i="22" s="1"/>
  <c r="W39" i="22"/>
  <c r="X39" i="22" s="1"/>
  <c r="AB39" i="22"/>
  <c r="AD39" i="22" s="1"/>
  <c r="AC39" i="22"/>
  <c r="AE39" i="22"/>
  <c r="AF39" i="22"/>
  <c r="AG39" i="22"/>
  <c r="AH39" i="22" s="1"/>
  <c r="AI39" i="22" a="1"/>
  <c r="AI39" i="22"/>
  <c r="E40" i="22"/>
  <c r="L40" i="22"/>
  <c r="T40" i="22"/>
  <c r="V40" i="22"/>
  <c r="W40" i="22"/>
  <c r="X40" i="22" s="1"/>
  <c r="AB40" i="22"/>
  <c r="AC40" i="22"/>
  <c r="AD40" i="22"/>
  <c r="AE40" i="22"/>
  <c r="AF40" i="22" s="1"/>
  <c r="AG40" i="22"/>
  <c r="AH40" i="22" s="1"/>
  <c r="E41" i="22"/>
  <c r="L41" i="22"/>
  <c r="T41" i="22"/>
  <c r="V41" i="22" s="1"/>
  <c r="W41" i="22"/>
  <c r="X41" i="22" s="1"/>
  <c r="AB41" i="22"/>
  <c r="AC41" i="22"/>
  <c r="AD41" i="22"/>
  <c r="AE41" i="22"/>
  <c r="AF41" i="22"/>
  <c r="AG41" i="22"/>
  <c r="AH41" i="22" s="1"/>
  <c r="E42" i="22"/>
  <c r="L42" i="22"/>
  <c r="T42" i="22"/>
  <c r="V42" i="22" s="1"/>
  <c r="W42" i="22"/>
  <c r="X42" i="22"/>
  <c r="AB42" i="22"/>
  <c r="AE42" i="22"/>
  <c r="AF42" i="22" s="1"/>
  <c r="AG42" i="22"/>
  <c r="AH42" i="22" s="1"/>
  <c r="E43" i="22"/>
  <c r="L43" i="22"/>
  <c r="T43" i="22"/>
  <c r="V43" i="22" s="1"/>
  <c r="W43" i="22"/>
  <c r="X43" i="22" s="1"/>
  <c r="AB43" i="22"/>
  <c r="AC43" i="22" s="1"/>
  <c r="AE43" i="22"/>
  <c r="AF43" i="22" s="1"/>
  <c r="AG43" i="22"/>
  <c r="AH43" i="22"/>
  <c r="E44" i="22"/>
  <c r="L44" i="22"/>
  <c r="T44" i="22"/>
  <c r="V44" i="22"/>
  <c r="W44" i="22"/>
  <c r="X44" i="22" s="1"/>
  <c r="AB44" i="22"/>
  <c r="AC44" i="22"/>
  <c r="AD44" i="22"/>
  <c r="AE44" i="22"/>
  <c r="AF44" i="22" s="1"/>
  <c r="AG44" i="22"/>
  <c r="AH44" i="22" s="1"/>
  <c r="E45" i="22"/>
  <c r="L45" i="22"/>
  <c r="T45" i="22"/>
  <c r="V45" i="22" s="1"/>
  <c r="W45" i="22"/>
  <c r="X45" i="22" s="1"/>
  <c r="AB45" i="22"/>
  <c r="AD45" i="22" s="1"/>
  <c r="AC45" i="22"/>
  <c r="AE45" i="22"/>
  <c r="AF45" i="22"/>
  <c r="AG45" i="22"/>
  <c r="AH45" i="22" s="1"/>
  <c r="E46" i="22"/>
  <c r="L46" i="22"/>
  <c r="T46" i="22"/>
  <c r="V46" i="22" s="1"/>
  <c r="W46" i="22"/>
  <c r="X46" i="22"/>
  <c r="AB46" i="22"/>
  <c r="AD46" i="22" s="1"/>
  <c r="AE46" i="22"/>
  <c r="AF46" i="22" s="1"/>
  <c r="AG46" i="22"/>
  <c r="AH46" i="22" s="1"/>
  <c r="E47" i="22"/>
  <c r="L47" i="22"/>
  <c r="T47" i="22"/>
  <c r="V47" i="22" s="1"/>
  <c r="W47" i="22"/>
  <c r="X47" i="22" s="1"/>
  <c r="AB47" i="22"/>
  <c r="AE47" i="22"/>
  <c r="AF47" i="22" s="1"/>
  <c r="AG47" i="22"/>
  <c r="AH47" i="22"/>
  <c r="E48" i="22"/>
  <c r="L48" i="22"/>
  <c r="T48" i="22"/>
  <c r="V48" i="22"/>
  <c r="W48" i="22"/>
  <c r="X48" i="22" s="1"/>
  <c r="AB48" i="22"/>
  <c r="AC48" i="22"/>
  <c r="AD48" i="22"/>
  <c r="AE48" i="22"/>
  <c r="AF48" i="22" s="1"/>
  <c r="AG48" i="22"/>
  <c r="AH48" i="22" s="1"/>
  <c r="E49" i="22"/>
  <c r="L49" i="22"/>
  <c r="T49" i="22"/>
  <c r="V49" i="22" s="1"/>
  <c r="W49" i="22"/>
  <c r="X49" i="22" s="1"/>
  <c r="AB49" i="22"/>
  <c r="AC49" i="22"/>
  <c r="AD49" i="22"/>
  <c r="AE49" i="22"/>
  <c r="AF49" i="22"/>
  <c r="AG49" i="22"/>
  <c r="AH49" i="22" s="1"/>
  <c r="E50" i="22"/>
  <c r="L50" i="22"/>
  <c r="T50" i="22"/>
  <c r="V50" i="22" s="1"/>
  <c r="W50" i="22"/>
  <c r="X50" i="22"/>
  <c r="AB50" i="22"/>
  <c r="AE50" i="22"/>
  <c r="AF50" i="22" s="1"/>
  <c r="AG50" i="22"/>
  <c r="AH50" i="22" s="1"/>
  <c r="E51" i="22"/>
  <c r="L51" i="22"/>
  <c r="T51" i="22"/>
  <c r="V51" i="22" s="1"/>
  <c r="W51" i="22"/>
  <c r="X51" i="22" s="1"/>
  <c r="AB51" i="22"/>
  <c r="AC51" i="22" s="1"/>
  <c r="AE51" i="22"/>
  <c r="AF51" i="22" s="1"/>
  <c r="AG51" i="22"/>
  <c r="AH51" i="22"/>
  <c r="E52" i="22"/>
  <c r="L52" i="22"/>
  <c r="T52" i="22"/>
  <c r="V52" i="22"/>
  <c r="W52" i="22"/>
  <c r="X52" i="22" s="1"/>
  <c r="AB52" i="22"/>
  <c r="AC52" i="22"/>
  <c r="AD52" i="22"/>
  <c r="AE52" i="22"/>
  <c r="AF52" i="22" s="1"/>
  <c r="AG52" i="22"/>
  <c r="AH52" i="22" s="1"/>
  <c r="E53" i="22"/>
  <c r="L53" i="22"/>
  <c r="T53" i="22"/>
  <c r="V53" i="22" s="1"/>
  <c r="W53" i="22"/>
  <c r="X53" i="22" s="1"/>
  <c r="AB53" i="22"/>
  <c r="AC53" i="22"/>
  <c r="AD53" i="22"/>
  <c r="AE53" i="22"/>
  <c r="AF53" i="22"/>
  <c r="AG53" i="22"/>
  <c r="AH53" i="22" s="1"/>
  <c r="E54" i="22"/>
  <c r="L54" i="22"/>
  <c r="T54" i="22"/>
  <c r="V54" i="22" s="1"/>
  <c r="W54" i="22"/>
  <c r="X54" i="22"/>
  <c r="AB54" i="22"/>
  <c r="AD54" i="22" s="1"/>
  <c r="AE54" i="22"/>
  <c r="AF54" i="22" s="1"/>
  <c r="AG54" i="22"/>
  <c r="AH54" i="22" s="1"/>
  <c r="E55" i="22"/>
  <c r="L55" i="22"/>
  <c r="T55" i="22"/>
  <c r="V55" i="22" s="1"/>
  <c r="W55" i="22"/>
  <c r="X55" i="22" s="1"/>
  <c r="AB55" i="22"/>
  <c r="AE55" i="22"/>
  <c r="AF55" i="22" s="1"/>
  <c r="AG55" i="22"/>
  <c r="AH55" i="22"/>
  <c r="E56" i="22"/>
  <c r="L56" i="22"/>
  <c r="T56" i="22"/>
  <c r="V56" i="22"/>
  <c r="W56" i="22"/>
  <c r="X56" i="22" s="1"/>
  <c r="AB56" i="22"/>
  <c r="AC56" i="22"/>
  <c r="AD56" i="22"/>
  <c r="AE56" i="22"/>
  <c r="AF56" i="22" s="1"/>
  <c r="AG56" i="22"/>
  <c r="AH56" i="22" s="1"/>
  <c r="E57" i="22"/>
  <c r="L57" i="22"/>
  <c r="T57" i="22"/>
  <c r="V57" i="22" s="1"/>
  <c r="W57" i="22"/>
  <c r="X57" i="22" s="1"/>
  <c r="AB57" i="22"/>
  <c r="AC57" i="22"/>
  <c r="AD57" i="22"/>
  <c r="AE57" i="22"/>
  <c r="AF57" i="22"/>
  <c r="AG57" i="22"/>
  <c r="AH57" i="22" s="1"/>
  <c r="E58" i="22"/>
  <c r="L58" i="22"/>
  <c r="T58" i="22"/>
  <c r="V58" i="22" s="1"/>
  <c r="W58" i="22"/>
  <c r="X58" i="22"/>
  <c r="AB58" i="22"/>
  <c r="AE58" i="22"/>
  <c r="AF58" i="22" s="1"/>
  <c r="AG58" i="22"/>
  <c r="AH58" i="22" s="1"/>
  <c r="I59" i="22"/>
  <c r="C66" i="22"/>
  <c r="D66" i="22"/>
  <c r="E66" i="22"/>
  <c r="H66" i="22"/>
  <c r="AN66" i="22" s="1"/>
  <c r="AP66" i="22" s="1"/>
  <c r="I66" i="22"/>
  <c r="J66" i="22"/>
  <c r="L66" i="22"/>
  <c r="M66" i="22"/>
  <c r="T66" i="22"/>
  <c r="U66" i="22"/>
  <c r="V66" i="22"/>
  <c r="W66" i="22"/>
  <c r="X66" i="22"/>
  <c r="AB66" i="22"/>
  <c r="AC66" i="22"/>
  <c r="AD66" i="22" s="1"/>
  <c r="AE66" i="22" s="1"/>
  <c r="AF66" i="22"/>
  <c r="AG66" i="22"/>
  <c r="AH66" i="22" s="1"/>
  <c r="AI66" i="22"/>
  <c r="AJ66" i="22" s="1"/>
  <c r="AO66" i="22"/>
  <c r="AQ66" i="22"/>
  <c r="AR66" i="22"/>
  <c r="AS66" i="22"/>
  <c r="AT66" i="22" s="1"/>
  <c r="AU66" i="22"/>
  <c r="AV66" i="22"/>
  <c r="AW66" i="22"/>
  <c r="AX66" i="22"/>
  <c r="AY66" i="22" a="1"/>
  <c r="AY66" i="22"/>
  <c r="BB66" i="22"/>
  <c r="D67" i="22"/>
  <c r="H67" i="22" s="1"/>
  <c r="AN67" i="22" s="1"/>
  <c r="E67" i="22"/>
  <c r="I67" i="22"/>
  <c r="J67" i="22"/>
  <c r="L67" i="22"/>
  <c r="M67" i="22"/>
  <c r="U67" i="22"/>
  <c r="V67" i="22"/>
  <c r="W67" i="22"/>
  <c r="AC67" i="22"/>
  <c r="AD67" i="22" s="1"/>
  <c r="AE67" i="22" s="1"/>
  <c r="AF67" i="22"/>
  <c r="AQ67" i="22"/>
  <c r="AR67" i="22" s="1"/>
  <c r="AS67" i="22"/>
  <c r="AT67" i="22" s="1"/>
  <c r="AW67" i="22"/>
  <c r="AX67" i="22"/>
  <c r="BC67" i="22"/>
  <c r="BH67" i="22"/>
  <c r="BK67" i="22"/>
  <c r="BP67" i="22"/>
  <c r="BS67" i="22"/>
  <c r="C68" i="22"/>
  <c r="D68" i="22"/>
  <c r="E68" i="22"/>
  <c r="H68" i="22"/>
  <c r="I68" i="22"/>
  <c r="J68" i="22"/>
  <c r="L68" i="22"/>
  <c r="M68" i="22"/>
  <c r="T68" i="22"/>
  <c r="U68" i="22"/>
  <c r="V68" i="22"/>
  <c r="W68" i="22"/>
  <c r="X68" i="22"/>
  <c r="AB68" i="22"/>
  <c r="AC68" i="22"/>
  <c r="AD68" i="22" s="1"/>
  <c r="AE68" i="22" s="1"/>
  <c r="AF68" i="22"/>
  <c r="AG68" i="22"/>
  <c r="AH68" i="22" s="1"/>
  <c r="AI68" i="22"/>
  <c r="AJ68" i="22" s="1"/>
  <c r="AN68" i="22"/>
  <c r="AP68" i="22" s="1"/>
  <c r="AO68" i="22"/>
  <c r="AQ68" i="22"/>
  <c r="AR68" i="22"/>
  <c r="AS68" i="22"/>
  <c r="AT68" i="22" s="1"/>
  <c r="AU68" i="22"/>
  <c r="AV68" i="22"/>
  <c r="AW68" i="22"/>
  <c r="BD75" i="22" s="1"/>
  <c r="AX68" i="22"/>
  <c r="BC68" i="22"/>
  <c r="BH68" i="22"/>
  <c r="BK68" i="22"/>
  <c r="BP68" i="22"/>
  <c r="BS68" i="22"/>
  <c r="C69" i="22"/>
  <c r="D69" i="22"/>
  <c r="U69" i="22" s="1"/>
  <c r="H69" i="22"/>
  <c r="AN69" i="22" s="1"/>
  <c r="AO69" i="22" s="1"/>
  <c r="I69" i="22"/>
  <c r="J69" i="22"/>
  <c r="M69" i="22"/>
  <c r="T69" i="22"/>
  <c r="W69" i="22"/>
  <c r="X69" i="22"/>
  <c r="AB69" i="22"/>
  <c r="AF69" i="22"/>
  <c r="AP69" i="22"/>
  <c r="AS69" i="22"/>
  <c r="AT69" i="22" s="1"/>
  <c r="AU69" i="22"/>
  <c r="AV69" i="22" s="1"/>
  <c r="AX69" i="22"/>
  <c r="E69" i="22" s="1"/>
  <c r="BD69" i="22"/>
  <c r="BQ69" i="22"/>
  <c r="D70" i="22"/>
  <c r="I70" i="22"/>
  <c r="I86" i="22" s="1"/>
  <c r="J70" i="22"/>
  <c r="L70" i="22"/>
  <c r="M70" i="22"/>
  <c r="T70" i="22"/>
  <c r="V70" i="22"/>
  <c r="AB70" i="22"/>
  <c r="AG70" i="22"/>
  <c r="AH70" i="22" s="1"/>
  <c r="AU70" i="22"/>
  <c r="AV70" i="22" s="1"/>
  <c r="AX70" i="22"/>
  <c r="E70" i="22" s="1"/>
  <c r="BC70" i="22"/>
  <c r="BI70" i="22"/>
  <c r="BK70" i="22"/>
  <c r="BS70" i="22"/>
  <c r="D71" i="22"/>
  <c r="AG71" i="22" s="1"/>
  <c r="AH71" i="22" s="1"/>
  <c r="E71" i="22"/>
  <c r="H71" i="22"/>
  <c r="AN71" i="22" s="1"/>
  <c r="AP71" i="22" s="1"/>
  <c r="I71" i="22"/>
  <c r="J71" i="22"/>
  <c r="M71" i="22"/>
  <c r="V71" i="22"/>
  <c r="AW71" i="22"/>
  <c r="AX71" i="22"/>
  <c r="BB71" i="22"/>
  <c r="BC71" i="22"/>
  <c r="BD71" i="22"/>
  <c r="BT71" i="22"/>
  <c r="C72" i="22"/>
  <c r="D72" i="22"/>
  <c r="H72" i="22"/>
  <c r="AN72" i="22" s="1"/>
  <c r="I72" i="22"/>
  <c r="J72" i="22"/>
  <c r="L72" i="22"/>
  <c r="M72" i="22"/>
  <c r="T72" i="22"/>
  <c r="U72" i="22"/>
  <c r="V72" i="22"/>
  <c r="W72" i="22"/>
  <c r="X72" i="22"/>
  <c r="AB72" i="22"/>
  <c r="AC72" i="22"/>
  <c r="AD72" i="22"/>
  <c r="AE72" i="22" s="1"/>
  <c r="AF72" i="22"/>
  <c r="AG72" i="22"/>
  <c r="AH72" i="22"/>
  <c r="AI72" i="22"/>
  <c r="AJ72" i="22" s="1"/>
  <c r="AQ72" i="22"/>
  <c r="AR72" i="22"/>
  <c r="AS72" i="22"/>
  <c r="AT72" i="22"/>
  <c r="AU72" i="22"/>
  <c r="AV72" i="22"/>
  <c r="AW72" i="22"/>
  <c r="BH71" i="22" s="1"/>
  <c r="AX72" i="22"/>
  <c r="E72" i="22" s="1"/>
  <c r="BC72" i="22"/>
  <c r="BD72" i="22"/>
  <c r="BI72" i="22"/>
  <c r="BT72" i="22"/>
  <c r="D73" i="22"/>
  <c r="X73" i="22" s="1"/>
  <c r="I73" i="22"/>
  <c r="J73" i="22"/>
  <c r="M73" i="22"/>
  <c r="U73" i="22"/>
  <c r="AI73" i="22"/>
  <c r="AJ73" i="22" s="1"/>
  <c r="AQ73" i="22"/>
  <c r="AR73" i="22" s="1"/>
  <c r="AW73" i="22"/>
  <c r="BI77" i="22" s="1"/>
  <c r="AX73" i="22"/>
  <c r="E73" i="22" s="1"/>
  <c r="BB73" i="22"/>
  <c r="BH73" i="22"/>
  <c r="BP73" i="22"/>
  <c r="C74" i="22"/>
  <c r="D74" i="22"/>
  <c r="E74" i="22"/>
  <c r="I74" i="22"/>
  <c r="J74" i="22"/>
  <c r="L74" i="22"/>
  <c r="M74" i="22"/>
  <c r="T74" i="22"/>
  <c r="U74" i="22"/>
  <c r="V74" i="22"/>
  <c r="X74" i="22"/>
  <c r="AB74" i="22"/>
  <c r="AC74" i="22"/>
  <c r="AD74" i="22" s="1"/>
  <c r="AE74" i="22" s="1"/>
  <c r="AF74" i="22"/>
  <c r="AG74" i="22"/>
  <c r="AH74" i="22" s="1"/>
  <c r="AI74" i="22"/>
  <c r="AJ74" i="22" s="1"/>
  <c r="AQ74" i="22"/>
  <c r="AR74" i="22" s="1"/>
  <c r="AU74" i="22"/>
  <c r="AV74" i="22"/>
  <c r="AX74" i="22"/>
  <c r="BB74" i="22"/>
  <c r="BC74" i="22"/>
  <c r="D75" i="22"/>
  <c r="E75" i="22"/>
  <c r="I75" i="22"/>
  <c r="J75" i="22"/>
  <c r="L75" i="22"/>
  <c r="M75" i="22"/>
  <c r="U75" i="22"/>
  <c r="V75" i="22"/>
  <c r="W75" i="22"/>
  <c r="AC75" i="22"/>
  <c r="AD75" i="22" s="1"/>
  <c r="AE75" i="22" s="1"/>
  <c r="AF75" i="22"/>
  <c r="AQ75" i="22"/>
  <c r="AR75" i="22" s="1"/>
  <c r="AS75" i="22"/>
  <c r="AT75" i="22" s="1"/>
  <c r="AW75" i="22"/>
  <c r="AX75" i="22"/>
  <c r="BC75" i="22"/>
  <c r="BH75" i="22"/>
  <c r="BK75" i="22"/>
  <c r="BP75" i="22"/>
  <c r="BS75" i="22"/>
  <c r="C76" i="22"/>
  <c r="D76" i="22"/>
  <c r="E76" i="22"/>
  <c r="H76" i="22"/>
  <c r="I76" i="22"/>
  <c r="J76" i="22"/>
  <c r="L76" i="22"/>
  <c r="M76" i="22"/>
  <c r="T76" i="22"/>
  <c r="U76" i="22"/>
  <c r="V76" i="22"/>
  <c r="W76" i="22"/>
  <c r="X76" i="22"/>
  <c r="AB76" i="22"/>
  <c r="AC76" i="22"/>
  <c r="AD76" i="22" s="1"/>
  <c r="AE76" i="22" s="1"/>
  <c r="AF76" i="22"/>
  <c r="AG76" i="22"/>
  <c r="AH76" i="22" s="1"/>
  <c r="AI76" i="22"/>
  <c r="AJ76" i="22" s="1"/>
  <c r="AN76" i="22"/>
  <c r="AP76" i="22" s="1"/>
  <c r="AO76" i="22"/>
  <c r="AQ76" i="22"/>
  <c r="AR76" i="22"/>
  <c r="AS76" i="22"/>
  <c r="AT76" i="22" s="1"/>
  <c r="AU76" i="22"/>
  <c r="AV76" i="22"/>
  <c r="AW76" i="22"/>
  <c r="BL69" i="22" s="1"/>
  <c r="AX76" i="22"/>
  <c r="BC76" i="22"/>
  <c r="BH76" i="22"/>
  <c r="BK76" i="22"/>
  <c r="BP76" i="22"/>
  <c r="BS76" i="22"/>
  <c r="C77" i="22"/>
  <c r="D77" i="22"/>
  <c r="H77" i="22"/>
  <c r="AN77" i="22" s="1"/>
  <c r="AO77" i="22" s="1"/>
  <c r="I77" i="22"/>
  <c r="J77" i="22"/>
  <c r="M77" i="22"/>
  <c r="T77" i="22"/>
  <c r="W77" i="22"/>
  <c r="X77" i="22"/>
  <c r="AB77" i="22"/>
  <c r="AF77" i="22"/>
  <c r="AP77" i="22"/>
  <c r="AS77" i="22"/>
  <c r="AT77" i="22" s="1"/>
  <c r="AU77" i="22"/>
  <c r="AV77" i="22" s="1"/>
  <c r="AX77" i="22"/>
  <c r="E77" i="22" s="1"/>
  <c r="BD77" i="22"/>
  <c r="BH77" i="22"/>
  <c r="BL77" i="22"/>
  <c r="BQ77" i="22"/>
  <c r="D78" i="22"/>
  <c r="V78" i="22" s="1"/>
  <c r="I78" i="22"/>
  <c r="J78" i="22"/>
  <c r="L78" i="22"/>
  <c r="M78" i="22"/>
  <c r="T78" i="22"/>
  <c r="AB78" i="22"/>
  <c r="AG78" i="22"/>
  <c r="AH78" i="22" s="1"/>
  <c r="AU78" i="22"/>
  <c r="AV78" i="22" s="1"/>
  <c r="AX78" i="22"/>
  <c r="E78" i="22" s="1"/>
  <c r="BC78" i="22"/>
  <c r="BI78" i="22"/>
  <c r="BK78" i="22"/>
  <c r="BS78" i="22"/>
  <c r="D79" i="22"/>
  <c r="H79" i="22" s="1"/>
  <c r="AN79" i="22" s="1"/>
  <c r="E79" i="22"/>
  <c r="I79" i="22"/>
  <c r="J79" i="22"/>
  <c r="M79" i="22"/>
  <c r="AX79" i="22"/>
  <c r="BB79" i="22"/>
  <c r="BC79" i="22"/>
  <c r="BD79" i="22"/>
  <c r="BH79" i="22"/>
  <c r="BK79" i="22"/>
  <c r="BT79" i="22"/>
  <c r="C80" i="22"/>
  <c r="D80" i="22"/>
  <c r="H80" i="22"/>
  <c r="AN80" i="22" s="1"/>
  <c r="I80" i="22"/>
  <c r="J80" i="22"/>
  <c r="L80" i="22"/>
  <c r="M80" i="22"/>
  <c r="T80" i="22"/>
  <c r="U80" i="22"/>
  <c r="V80" i="22"/>
  <c r="W80" i="22"/>
  <c r="X80" i="22"/>
  <c r="AB80" i="22"/>
  <c r="AC80" i="22"/>
  <c r="AD80" i="22"/>
  <c r="AE80" i="22" s="1"/>
  <c r="AF80" i="22"/>
  <c r="AG80" i="22"/>
  <c r="AH80" i="22"/>
  <c r="AI80" i="22"/>
  <c r="AJ80" i="22" s="1"/>
  <c r="AQ80" i="22"/>
  <c r="AR80" i="22"/>
  <c r="AS80" i="22"/>
  <c r="AT80" i="22"/>
  <c r="AU80" i="22"/>
  <c r="AV80" i="22"/>
  <c r="AW80" i="22"/>
  <c r="AX80" i="22"/>
  <c r="E80" i="22" s="1"/>
  <c r="BC80" i="22"/>
  <c r="BD80" i="22"/>
  <c r="BH80" i="22"/>
  <c r="BK80" i="22"/>
  <c r="BP80" i="22"/>
  <c r="BQ80" i="22"/>
  <c r="D81" i="22"/>
  <c r="AQ81" i="22" s="1"/>
  <c r="AR81" i="22" s="1"/>
  <c r="I81" i="22"/>
  <c r="J81" i="22"/>
  <c r="M81" i="22"/>
  <c r="U81" i="22"/>
  <c r="X81" i="22"/>
  <c r="AF81" i="22"/>
  <c r="AI81" i="22"/>
  <c r="AJ81" i="22" s="1"/>
  <c r="AW81" i="22"/>
  <c r="BQ70" i="22" s="1"/>
  <c r="AX81" i="22"/>
  <c r="E81" i="22" s="1"/>
  <c r="BB81" i="22"/>
  <c r="BH81" i="22"/>
  <c r="BP81" i="22"/>
  <c r="C82" i="22"/>
  <c r="D82" i="22"/>
  <c r="E82" i="22"/>
  <c r="I82" i="22"/>
  <c r="J82" i="22"/>
  <c r="L82" i="22"/>
  <c r="M82" i="22"/>
  <c r="U82" i="22"/>
  <c r="V82" i="22"/>
  <c r="X82" i="22"/>
  <c r="AC82" i="22"/>
  <c r="AD82" i="22" s="1"/>
  <c r="AE82" i="22" s="1"/>
  <c r="AF82" i="22"/>
  <c r="AI82" i="22"/>
  <c r="AJ82" i="22" s="1"/>
  <c r="AQ82" i="22"/>
  <c r="AR82" i="22" s="1"/>
  <c r="AX82" i="22"/>
  <c r="BB82" i="22"/>
  <c r="BC82" i="22"/>
  <c r="BG82" i="22"/>
  <c r="BK82" i="22"/>
  <c r="D83" i="22"/>
  <c r="E83" i="22"/>
  <c r="H83" i="22"/>
  <c r="I83" i="22"/>
  <c r="J83" i="22"/>
  <c r="L83" i="22"/>
  <c r="M83" i="22"/>
  <c r="U83" i="22"/>
  <c r="V83" i="22"/>
  <c r="W83" i="22"/>
  <c r="AB83" i="22"/>
  <c r="AC83" i="22"/>
  <c r="AD83" i="22" s="1"/>
  <c r="AE83" i="22" s="1"/>
  <c r="AF83" i="22"/>
  <c r="AG83" i="22"/>
  <c r="AH83" i="22"/>
  <c r="AN83" i="22"/>
  <c r="AQ83" i="22"/>
  <c r="AR83" i="22" s="1"/>
  <c r="AS83" i="22"/>
  <c r="AT83" i="22" s="1"/>
  <c r="AU83" i="22"/>
  <c r="AV83" i="22"/>
  <c r="AW83" i="22"/>
  <c r="BS71" i="22" s="1"/>
  <c r="AX83" i="22"/>
  <c r="BC83" i="22"/>
  <c r="BG83" i="22"/>
  <c r="BH83" i="22"/>
  <c r="BK83" i="22"/>
  <c r="BP83" i="22"/>
  <c r="BS83" i="22"/>
  <c r="C84" i="22"/>
  <c r="D84" i="22"/>
  <c r="H84" i="22"/>
  <c r="AN84" i="22" s="1"/>
  <c r="AO84" i="22" s="1"/>
  <c r="I84" i="22"/>
  <c r="J84" i="22"/>
  <c r="L84" i="22"/>
  <c r="M84" i="22"/>
  <c r="T84" i="22"/>
  <c r="U84" i="22"/>
  <c r="V84" i="22"/>
  <c r="W84" i="22"/>
  <c r="X84" i="22"/>
  <c r="AB84" i="22"/>
  <c r="AC84" i="22"/>
  <c r="AD84" i="22" s="1"/>
  <c r="AE84" i="22" s="1"/>
  <c r="AF84" i="22"/>
  <c r="AG84" i="22"/>
  <c r="AH84" i="22" s="1"/>
  <c r="AI84" i="22"/>
  <c r="AJ84" i="22" s="1"/>
  <c r="AP84" i="22"/>
  <c r="AQ84" i="22"/>
  <c r="AR84" i="22"/>
  <c r="AS84" i="22"/>
  <c r="AT84" i="22"/>
  <c r="AU84" i="22"/>
  <c r="AV84" i="22"/>
  <c r="AW84" i="22"/>
  <c r="AX84" i="22"/>
  <c r="E84" i="22" s="1"/>
  <c r="BC84" i="22"/>
  <c r="BH84" i="22"/>
  <c r="BK84" i="22"/>
  <c r="BP84" i="22"/>
  <c r="BQ84" i="22"/>
  <c r="BS84" i="22"/>
  <c r="C85" i="22"/>
  <c r="D85" i="22"/>
  <c r="H85" i="22"/>
  <c r="AN85" i="22" s="1"/>
  <c r="I85" i="22"/>
  <c r="J85" i="22"/>
  <c r="M85" i="22"/>
  <c r="T85" i="22"/>
  <c r="U85" i="22"/>
  <c r="W85" i="22"/>
  <c r="X85" i="22"/>
  <c r="AB85" i="22"/>
  <c r="AF85" i="22"/>
  <c r="AI85" i="22"/>
  <c r="AJ85" i="22" s="1"/>
  <c r="AO85" i="22"/>
  <c r="AP85" i="22"/>
  <c r="AQ85" i="22"/>
  <c r="AR85" i="22" s="1"/>
  <c r="AS85" i="22"/>
  <c r="AT85" i="22"/>
  <c r="AU85" i="22"/>
  <c r="AV85" i="22" s="1"/>
  <c r="AW85" i="22"/>
  <c r="BU73" i="22" s="1"/>
  <c r="AX85" i="22"/>
  <c r="E85" i="22" s="1"/>
  <c r="BB85" i="22"/>
  <c r="BD85" i="22"/>
  <c r="BH85" i="22"/>
  <c r="BP85" i="22"/>
  <c r="BQ85" i="22"/>
  <c r="BT85" i="22"/>
  <c r="BU85" i="22"/>
  <c r="M86" i="22"/>
  <c r="F103" i="22"/>
  <c r="F105" i="22" s="1"/>
  <c r="F104" i="22"/>
  <c r="F106" i="22"/>
  <c r="D2" i="11"/>
  <c r="B9" i="12"/>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s="1"/>
  <c r="S37" i="4"/>
  <c r="T37" i="4" s="1"/>
  <c r="S38" i="4"/>
  <c r="T38" i="4"/>
  <c r="O47" i="4"/>
  <c r="P47" i="4" s="1"/>
  <c r="P48" i="4"/>
  <c r="P49" i="4"/>
  <c r="P50" i="4"/>
  <c r="AO80" i="22" l="1"/>
  <c r="AP80" i="22"/>
  <c r="AP79" i="22"/>
  <c r="AO79" i="22"/>
  <c r="AO72" i="22"/>
  <c r="AP72" i="22"/>
  <c r="BG69" i="22"/>
  <c r="BG73" i="22"/>
  <c r="BG77" i="22"/>
  <c r="BG81" i="22"/>
  <c r="BG85" i="22"/>
  <c r="BG75" i="22"/>
  <c r="BG76" i="22"/>
  <c r="BG78" i="22"/>
  <c r="BG67" i="22"/>
  <c r="BG68" i="22"/>
  <c r="BG70" i="22"/>
  <c r="I34" i="1"/>
  <c r="O34" i="1" s="1"/>
  <c r="I33" i="1"/>
  <c r="O33" i="1" s="1"/>
  <c r="I35" i="1"/>
  <c r="O35" i="1" s="1"/>
  <c r="I97" i="1"/>
  <c r="L97" i="1"/>
  <c r="O97" i="1"/>
  <c r="BI85" i="22"/>
  <c r="BU84" i="22"/>
  <c r="BG84" i="22"/>
  <c r="BT66" i="22"/>
  <c r="BT70" i="22"/>
  <c r="BT74" i="22"/>
  <c r="BT78" i="22"/>
  <c r="BT82" i="22"/>
  <c r="BT67" i="22"/>
  <c r="BT68" i="22"/>
  <c r="BT73" i="22"/>
  <c r="BT83" i="22"/>
  <c r="BT84" i="22"/>
  <c r="BT75" i="22"/>
  <c r="BT76" i="22"/>
  <c r="BT81" i="22"/>
  <c r="BL83" i="22"/>
  <c r="AP83" i="22"/>
  <c r="AO83" i="22"/>
  <c r="BT80" i="22"/>
  <c r="BL80" i="22"/>
  <c r="BG80" i="22"/>
  <c r="BL79" i="22"/>
  <c r="BG79" i="22"/>
  <c r="AB79" i="22"/>
  <c r="BT77" i="22"/>
  <c r="BQ72" i="22"/>
  <c r="BG72" i="22"/>
  <c r="BL71" i="22"/>
  <c r="AU71" i="22"/>
  <c r="AV71" i="22" s="1"/>
  <c r="H70" i="22"/>
  <c r="AN70" i="22" s="1"/>
  <c r="W70" i="22"/>
  <c r="AS70" i="22"/>
  <c r="AT70" i="22" s="1"/>
  <c r="AW70" i="22"/>
  <c r="C70" i="22"/>
  <c r="U70" i="22"/>
  <c r="AC70" i="22"/>
  <c r="AD70" i="22" s="1"/>
  <c r="AE70" i="22" s="1"/>
  <c r="AI70" i="22"/>
  <c r="AJ70" i="22" s="1"/>
  <c r="AQ70" i="22"/>
  <c r="AR70" i="22" s="1"/>
  <c r="X70" i="22"/>
  <c r="AF70" i="22"/>
  <c r="AP67" i="22"/>
  <c r="AO67" i="22"/>
  <c r="BG66" i="22"/>
  <c r="AD42" i="22"/>
  <c r="AC42" i="22"/>
  <c r="BU67" i="22"/>
  <c r="BU71" i="22"/>
  <c r="BU75" i="22"/>
  <c r="BU79" i="22"/>
  <c r="BU83" i="22"/>
  <c r="BU70" i="22"/>
  <c r="BU72" i="22"/>
  <c r="BU77" i="22"/>
  <c r="BU66" i="22"/>
  <c r="BU69" i="22"/>
  <c r="BU78" i="22"/>
  <c r="BU80" i="22"/>
  <c r="O96" i="1"/>
  <c r="I96" i="1"/>
  <c r="L96" i="1"/>
  <c r="BL84" i="22"/>
  <c r="BU82" i="22"/>
  <c r="BU81" i="22"/>
  <c r="AW79" i="22"/>
  <c r="V79" i="22"/>
  <c r="BU74" i="22"/>
  <c r="BI67" i="22"/>
  <c r="BI71" i="22"/>
  <c r="BI75" i="22"/>
  <c r="BI79" i="22"/>
  <c r="BI83" i="22"/>
  <c r="BI66" i="22"/>
  <c r="BI68" i="22"/>
  <c r="BI73" i="22"/>
  <c r="BI82" i="22"/>
  <c r="BI84" i="22"/>
  <c r="BI74" i="22"/>
  <c r="BI76" i="22"/>
  <c r="BI81" i="22"/>
  <c r="L73" i="22"/>
  <c r="V73" i="22"/>
  <c r="AC73" i="22"/>
  <c r="AD73" i="22" s="1"/>
  <c r="AE73" i="22" s="1"/>
  <c r="AG73" i="22"/>
  <c r="AH73" i="22" s="1"/>
  <c r="H73" i="22"/>
  <c r="AN73" i="22" s="1"/>
  <c r="T73" i="22"/>
  <c r="AB73" i="22"/>
  <c r="AU73" i="22"/>
  <c r="AV73" i="22" s="1"/>
  <c r="C73" i="22"/>
  <c r="W73" i="22"/>
  <c r="AS73" i="22"/>
  <c r="AT73" i="22" s="1"/>
  <c r="C71" i="22"/>
  <c r="T71" i="22"/>
  <c r="X71" i="22"/>
  <c r="AI71" i="22"/>
  <c r="AJ71" i="22" s="1"/>
  <c r="L71" i="22"/>
  <c r="W71" i="22"/>
  <c r="AF71" i="22"/>
  <c r="AS71" i="22"/>
  <c r="AT71" i="22" s="1"/>
  <c r="U71" i="22"/>
  <c r="AC71" i="22"/>
  <c r="AD71" i="22" s="1"/>
  <c r="AE71" i="22" s="1"/>
  <c r="AQ71" i="22"/>
  <c r="AR71" i="22" s="1"/>
  <c r="BB68" i="22"/>
  <c r="BB72" i="22"/>
  <c r="BB76" i="22"/>
  <c r="BB80" i="22"/>
  <c r="BB84" i="22"/>
  <c r="BB69" i="22"/>
  <c r="BB75" i="22"/>
  <c r="BB78" i="22"/>
  <c r="BB64" i="22" s="1"/>
  <c r="BX66" i="22" s="1"/>
  <c r="BV66" i="22" s="1"/>
  <c r="BB67" i="22"/>
  <c r="BB70" i="22"/>
  <c r="BB77" i="22"/>
  <c r="BB83" i="22"/>
  <c r="AD58" i="22"/>
  <c r="AC58" i="22"/>
  <c r="AD50" i="22"/>
  <c r="AC50" i="22"/>
  <c r="L59" i="22"/>
  <c r="P3" i="22" s="1"/>
  <c r="I32" i="22"/>
  <c r="I33" i="22"/>
  <c r="M31" i="22"/>
  <c r="AC11" i="22"/>
  <c r="AD11" i="22"/>
  <c r="O33" i="22"/>
  <c r="I98" i="1"/>
  <c r="L98" i="1"/>
  <c r="O98" i="1"/>
  <c r="C79" i="22"/>
  <c r="T79" i="22"/>
  <c r="X79" i="22"/>
  <c r="AI79" i="22"/>
  <c r="AJ79" i="22" s="1"/>
  <c r="U79" i="22"/>
  <c r="AC79" i="22"/>
  <c r="AD79" i="22" s="1"/>
  <c r="AE79" i="22" s="1"/>
  <c r="AQ79" i="22"/>
  <c r="AR79" i="22" s="1"/>
  <c r="L79" i="22"/>
  <c r="W79" i="22"/>
  <c r="AF79" i="22"/>
  <c r="AS79" i="22"/>
  <c r="AT79" i="22" s="1"/>
  <c r="BL66" i="22"/>
  <c r="BL70" i="22"/>
  <c r="BL74" i="22"/>
  <c r="BL78" i="22"/>
  <c r="BL82" i="22"/>
  <c r="BL75" i="22"/>
  <c r="BL76" i="22"/>
  <c r="BL81" i="22"/>
  <c r="BL67" i="22"/>
  <c r="BL68" i="22"/>
  <c r="BL73" i="22"/>
  <c r="BU68" i="22"/>
  <c r="L95" i="1"/>
  <c r="O95" i="1"/>
  <c r="O99" i="1" s="1"/>
  <c r="I60" i="1" s="1"/>
  <c r="I95" i="1"/>
  <c r="I99" i="1" s="1"/>
  <c r="I31" i="1" s="1"/>
  <c r="BL85" i="22"/>
  <c r="BQ67" i="22"/>
  <c r="BQ71" i="22"/>
  <c r="BQ75" i="22"/>
  <c r="BQ79" i="22"/>
  <c r="BQ83" i="22"/>
  <c r="BQ74" i="22"/>
  <c r="BQ76" i="22"/>
  <c r="BQ81" i="22"/>
  <c r="BQ66" i="22"/>
  <c r="BQ68" i="22"/>
  <c r="BQ73" i="22"/>
  <c r="BQ82" i="22"/>
  <c r="L81" i="22"/>
  <c r="V81" i="22"/>
  <c r="AC81" i="22"/>
  <c r="AD81" i="22" s="1"/>
  <c r="AE81" i="22" s="1"/>
  <c r="AG81" i="22"/>
  <c r="AH81" i="22" s="1"/>
  <c r="C81" i="22"/>
  <c r="W81" i="22"/>
  <c r="AS81" i="22"/>
  <c r="AT81" i="22" s="1"/>
  <c r="H81" i="22"/>
  <c r="AN81" i="22" s="1"/>
  <c r="T81" i="22"/>
  <c r="AB81" i="22"/>
  <c r="AU81" i="22"/>
  <c r="AV81" i="22" s="1"/>
  <c r="BI80" i="22"/>
  <c r="AU79" i="22"/>
  <c r="AV79" i="22" s="1"/>
  <c r="AG79" i="22"/>
  <c r="AH79" i="22" s="1"/>
  <c r="BQ78" i="22"/>
  <c r="H78" i="22"/>
  <c r="AN78" i="22" s="1"/>
  <c r="W78" i="22"/>
  <c r="AS78" i="22"/>
  <c r="AT78" i="22" s="1"/>
  <c r="AW78" i="22"/>
  <c r="X78" i="22"/>
  <c r="AF78" i="22"/>
  <c r="C78" i="22"/>
  <c r="U78" i="22"/>
  <c r="AC78" i="22"/>
  <c r="AD78" i="22" s="1"/>
  <c r="AE78" i="22" s="1"/>
  <c r="AI78" i="22"/>
  <c r="AJ78" i="22" s="1"/>
  <c r="AQ78" i="22"/>
  <c r="AR78" i="22" s="1"/>
  <c r="BU76" i="22"/>
  <c r="BG74" i="22"/>
  <c r="AF73" i="22"/>
  <c r="BL72" i="22"/>
  <c r="BG71" i="22"/>
  <c r="AO71" i="22"/>
  <c r="AB71" i="22"/>
  <c r="BT69" i="22"/>
  <c r="BI69" i="22"/>
  <c r="AC55" i="22"/>
  <c r="AD55" i="22"/>
  <c r="AC47" i="22"/>
  <c r="AD47" i="22"/>
  <c r="AP66" i="21"/>
  <c r="AO66" i="21"/>
  <c r="H82" i="22"/>
  <c r="AN82" i="22" s="1"/>
  <c r="W82" i="22"/>
  <c r="AS82" i="22"/>
  <c r="AT82" i="22" s="1"/>
  <c r="AW82" i="22"/>
  <c r="BD81" i="22"/>
  <c r="BP66" i="22"/>
  <c r="BP70" i="22"/>
  <c r="BP74" i="22"/>
  <c r="BP78" i="22"/>
  <c r="BP82" i="22"/>
  <c r="BP79" i="22"/>
  <c r="L77" i="22"/>
  <c r="V77" i="22"/>
  <c r="AC77" i="22"/>
  <c r="AD77" i="22" s="1"/>
  <c r="AE77" i="22" s="1"/>
  <c r="AG77" i="22"/>
  <c r="AH77" i="22" s="1"/>
  <c r="BD76" i="22"/>
  <c r="BK69" i="22"/>
  <c r="BK73" i="22"/>
  <c r="BK77" i="22"/>
  <c r="BK81" i="22"/>
  <c r="BK85" i="22"/>
  <c r="C75" i="22"/>
  <c r="T75" i="22"/>
  <c r="X75" i="22"/>
  <c r="AI75" i="22"/>
  <c r="AJ75" i="22" s="1"/>
  <c r="BS74" i="22"/>
  <c r="BS72" i="22"/>
  <c r="BH72" i="22"/>
  <c r="BP69" i="22"/>
  <c r="AW69" i="22"/>
  <c r="AQ69" i="22"/>
  <c r="AR69" i="22" s="1"/>
  <c r="AI69" i="22"/>
  <c r="AJ69" i="22" s="1"/>
  <c r="AU67" i="22"/>
  <c r="AV67" i="22" s="1"/>
  <c r="AG67" i="22"/>
  <c r="AH67" i="22" s="1"/>
  <c r="AB67" i="22"/>
  <c r="BK66" i="22"/>
  <c r="AC54" i="22"/>
  <c r="AD51" i="22"/>
  <c r="AC46" i="22"/>
  <c r="AD43" i="22"/>
  <c r="H85" i="21"/>
  <c r="AN85" i="21" s="1"/>
  <c r="W85" i="21"/>
  <c r="AS85" i="21"/>
  <c r="AT85" i="21" s="1"/>
  <c r="AW85" i="21"/>
  <c r="C85" i="21"/>
  <c r="T85" i="21"/>
  <c r="X85" i="21"/>
  <c r="AI85" i="21"/>
  <c r="AJ85" i="21" s="1"/>
  <c r="AC85" i="21"/>
  <c r="AD85" i="21" s="1"/>
  <c r="AE85" i="21" s="1"/>
  <c r="U85" i="21"/>
  <c r="AF85" i="21"/>
  <c r="AQ85" i="21"/>
  <c r="AR85" i="21" s="1"/>
  <c r="V85" i="21"/>
  <c r="BD66" i="22"/>
  <c r="BD70" i="22"/>
  <c r="BD74" i="22"/>
  <c r="BD78" i="22"/>
  <c r="BD82" i="22"/>
  <c r="L31" i="22"/>
  <c r="D13" i="11" s="1"/>
  <c r="L84" i="21"/>
  <c r="V84" i="21"/>
  <c r="AC84" i="21"/>
  <c r="AD84" i="21" s="1"/>
  <c r="AE84" i="21" s="1"/>
  <c r="AG84" i="21"/>
  <c r="AH84" i="21" s="1"/>
  <c r="H84" i="21"/>
  <c r="AN84" i="21" s="1"/>
  <c r="W84" i="21"/>
  <c r="AS84" i="21"/>
  <c r="AT84" i="21" s="1"/>
  <c r="AW84" i="21"/>
  <c r="U84" i="21"/>
  <c r="AF84" i="21"/>
  <c r="AQ84" i="21"/>
  <c r="AR84" i="21" s="1"/>
  <c r="X84" i="21"/>
  <c r="AI84" i="21"/>
  <c r="AJ84" i="21" s="1"/>
  <c r="C84" i="21"/>
  <c r="BS68" i="21"/>
  <c r="BS72" i="21"/>
  <c r="BS76" i="21"/>
  <c r="BS80" i="21"/>
  <c r="BS84" i="21"/>
  <c r="BS67" i="21"/>
  <c r="BS71" i="21"/>
  <c r="BS75" i="21"/>
  <c r="BS79" i="21"/>
  <c r="BS83" i="21"/>
  <c r="BS69" i="21"/>
  <c r="BS70" i="21"/>
  <c r="BS73" i="21"/>
  <c r="BS74" i="21"/>
  <c r="BS77" i="21"/>
  <c r="BS78" i="21"/>
  <c r="BS66" i="21"/>
  <c r="BS64" i="21" s="1"/>
  <c r="BX83" i="21" s="1"/>
  <c r="BV83" i="21" s="1"/>
  <c r="BS81" i="21"/>
  <c r="BS82" i="21"/>
  <c r="AD58" i="21"/>
  <c r="AC58" i="21"/>
  <c r="AD41" i="21"/>
  <c r="AC41" i="21"/>
  <c r="V15" i="21"/>
  <c r="AH15" i="21"/>
  <c r="L85" i="22"/>
  <c r="V85" i="22"/>
  <c r="AC85" i="22"/>
  <c r="AD85" i="22" s="1"/>
  <c r="AE85" i="22" s="1"/>
  <c r="AG85" i="22"/>
  <c r="AH85" i="22" s="1"/>
  <c r="BD84" i="22"/>
  <c r="BD83" i="22"/>
  <c r="BS69" i="22"/>
  <c r="BS73" i="22"/>
  <c r="BS77" i="22"/>
  <c r="BS81" i="22"/>
  <c r="BS85" i="22"/>
  <c r="C83" i="22"/>
  <c r="T83" i="22"/>
  <c r="X83" i="22"/>
  <c r="AI83" i="22"/>
  <c r="AJ83" i="22" s="1"/>
  <c r="BS82" i="22"/>
  <c r="AU82" i="22"/>
  <c r="AV82" i="22" s="1"/>
  <c r="AG82" i="22"/>
  <c r="AH82" i="22" s="1"/>
  <c r="AB82" i="22"/>
  <c r="T82" i="22"/>
  <c r="BS80" i="22"/>
  <c r="BS79" i="22"/>
  <c r="BP77" i="22"/>
  <c r="AW77" i="22"/>
  <c r="AQ77" i="22"/>
  <c r="AR77" i="22" s="1"/>
  <c r="AI77" i="22"/>
  <c r="AJ77" i="22" s="1"/>
  <c r="U77" i="22"/>
  <c r="AU75" i="22"/>
  <c r="AV75" i="22" s="1"/>
  <c r="AG75" i="22"/>
  <c r="AH75" i="22" s="1"/>
  <c r="AB75" i="22"/>
  <c r="H75" i="22"/>
  <c r="AN75" i="22" s="1"/>
  <c r="BK74" i="22"/>
  <c r="H74" i="22"/>
  <c r="AN74" i="22" s="1"/>
  <c r="W74" i="22"/>
  <c r="AS74" i="22"/>
  <c r="AT74" i="22" s="1"/>
  <c r="AW74" i="22"/>
  <c r="BD73" i="22"/>
  <c r="BP72" i="22"/>
  <c r="BK72" i="22"/>
  <c r="BH66" i="22"/>
  <c r="BH64" i="22" s="1"/>
  <c r="BX72" i="22" s="1"/>
  <c r="BV72" i="22" s="1"/>
  <c r="BH70" i="22"/>
  <c r="BH74" i="22"/>
  <c r="BH78" i="22"/>
  <c r="BH82" i="22"/>
  <c r="BP71" i="22"/>
  <c r="BK71" i="22"/>
  <c r="BH69" i="22"/>
  <c r="L69" i="22"/>
  <c r="L86" i="22" s="1"/>
  <c r="P4" i="22" s="1"/>
  <c r="V69" i="22"/>
  <c r="AC69" i="22"/>
  <c r="AD69" i="22" s="1"/>
  <c r="AE69" i="22" s="1"/>
  <c r="AG69" i="22"/>
  <c r="AH69" i="22" s="1"/>
  <c r="BD68" i="22"/>
  <c r="BD67" i="22"/>
  <c r="BC69" i="22"/>
  <c r="BC73" i="22"/>
  <c r="BC77" i="22"/>
  <c r="BC81" i="22"/>
  <c r="BC85" i="22"/>
  <c r="C67" i="22"/>
  <c r="T67" i="22"/>
  <c r="X67" i="22"/>
  <c r="AI67" i="22"/>
  <c r="AJ67" i="22" s="1"/>
  <c r="BS66" i="22"/>
  <c r="BC66" i="22"/>
  <c r="BC64" i="22" s="1"/>
  <c r="BX67" i="22" s="1"/>
  <c r="BV67" i="22" s="1"/>
  <c r="BN67" i="21"/>
  <c r="BN71" i="21"/>
  <c r="BN75" i="21"/>
  <c r="BN79" i="21"/>
  <c r="BN83" i="21"/>
  <c r="BN66" i="21"/>
  <c r="BN70" i="21"/>
  <c r="BN74" i="21"/>
  <c r="BN78" i="21"/>
  <c r="BN82" i="21"/>
  <c r="BN68" i="21"/>
  <c r="BN72" i="21"/>
  <c r="BN76" i="21"/>
  <c r="BN81" i="21"/>
  <c r="BN85" i="21"/>
  <c r="BN69" i="21"/>
  <c r="BN73" i="21"/>
  <c r="BN77" i="21"/>
  <c r="BN80" i="21"/>
  <c r="BN84" i="21"/>
  <c r="BJ67" i="21"/>
  <c r="BJ71" i="21"/>
  <c r="BJ75" i="21"/>
  <c r="BJ79" i="21"/>
  <c r="BJ83" i="21"/>
  <c r="BJ66" i="21"/>
  <c r="BJ64" i="21" s="1"/>
  <c r="BX74" i="21" s="1"/>
  <c r="BV74" i="21" s="1"/>
  <c r="BJ70" i="21"/>
  <c r="BJ74" i="21"/>
  <c r="BJ78" i="21"/>
  <c r="BJ82" i="21"/>
  <c r="BJ69" i="21"/>
  <c r="BJ73" i="21"/>
  <c r="BJ77" i="21"/>
  <c r="BJ80" i="21"/>
  <c r="BJ84" i="21"/>
  <c r="BJ68" i="21"/>
  <c r="BJ72" i="21"/>
  <c r="BJ76" i="21"/>
  <c r="BJ81" i="21"/>
  <c r="AP70" i="21"/>
  <c r="AO70" i="21"/>
  <c r="AC23" i="21"/>
  <c r="AD23" i="21"/>
  <c r="V21" i="21"/>
  <c r="AH21" i="21"/>
  <c r="AH16" i="21"/>
  <c r="V16" i="21"/>
  <c r="L80" i="21"/>
  <c r="V80" i="21"/>
  <c r="AC80" i="21"/>
  <c r="AD80" i="21" s="1"/>
  <c r="AE80" i="21" s="1"/>
  <c r="AG80" i="21"/>
  <c r="AH80" i="21" s="1"/>
  <c r="H80" i="21"/>
  <c r="AN80" i="21" s="1"/>
  <c r="W80" i="21"/>
  <c r="AS80" i="21"/>
  <c r="AT80" i="21" s="1"/>
  <c r="AW80" i="21"/>
  <c r="U80" i="21"/>
  <c r="AF80" i="21"/>
  <c r="AQ80" i="21"/>
  <c r="AR80" i="21" s="1"/>
  <c r="X80" i="21"/>
  <c r="AI80" i="21"/>
  <c r="AJ80" i="21" s="1"/>
  <c r="C80" i="21"/>
  <c r="AB80" i="21"/>
  <c r="AU80" i="21"/>
  <c r="AV80" i="21" s="1"/>
  <c r="AP74" i="21"/>
  <c r="AO74" i="21"/>
  <c r="T80" i="21"/>
  <c r="BF67" i="21"/>
  <c r="BF71" i="21"/>
  <c r="BF75" i="21"/>
  <c r="BF79" i="21"/>
  <c r="BF83" i="21"/>
  <c r="BF66" i="21"/>
  <c r="BF70" i="21"/>
  <c r="BF74" i="21"/>
  <c r="BF78" i="21"/>
  <c r="BF82" i="21"/>
  <c r="BF68" i="21"/>
  <c r="BF72" i="21"/>
  <c r="BF76" i="21"/>
  <c r="BF81" i="21"/>
  <c r="BF85" i="21"/>
  <c r="BF69" i="21"/>
  <c r="BF73" i="21"/>
  <c r="BF77" i="21"/>
  <c r="BF80" i="21"/>
  <c r="AC51" i="21"/>
  <c r="AD51" i="21"/>
  <c r="L86" i="1"/>
  <c r="V86" i="1"/>
  <c r="AC86" i="1"/>
  <c r="AD86" i="1" s="1"/>
  <c r="AE86" i="1" s="1"/>
  <c r="AG86" i="1"/>
  <c r="AH86" i="1" s="1"/>
  <c r="H86" i="1"/>
  <c r="AN86" i="1" s="1"/>
  <c r="W86" i="1"/>
  <c r="AS86" i="1"/>
  <c r="AT86" i="1" s="1"/>
  <c r="AW86" i="1"/>
  <c r="U86" i="1"/>
  <c r="AF86" i="1"/>
  <c r="AQ86" i="1"/>
  <c r="AR86" i="1" s="1"/>
  <c r="X86" i="1"/>
  <c r="AI86" i="1"/>
  <c r="AJ86" i="1" s="1"/>
  <c r="AB86" i="1"/>
  <c r="AU86" i="1"/>
  <c r="AV86" i="1" s="1"/>
  <c r="C86" i="1"/>
  <c r="AY86" i="1" s="1"/>
  <c r="BO69" i="1"/>
  <c r="BO73" i="1"/>
  <c r="BO70" i="1"/>
  <c r="BO84" i="1"/>
  <c r="BO83" i="1"/>
  <c r="BO85" i="1"/>
  <c r="BO86" i="1"/>
  <c r="BO87" i="1"/>
  <c r="BO74" i="1"/>
  <c r="BO78" i="1"/>
  <c r="BO72" i="1"/>
  <c r="BO75" i="1"/>
  <c r="BO79" i="1"/>
  <c r="BO81" i="1"/>
  <c r="BO80" i="1"/>
  <c r="BO82" i="1"/>
  <c r="BO68" i="1"/>
  <c r="BO77" i="1"/>
  <c r="BO76" i="1"/>
  <c r="P1" i="22"/>
  <c r="G104" i="22" s="1"/>
  <c r="H104" i="22" s="1"/>
  <c r="V11" i="22"/>
  <c r="AH11" i="22"/>
  <c r="H81" i="21"/>
  <c r="AN81" i="21" s="1"/>
  <c r="W81" i="21"/>
  <c r="AS81" i="21"/>
  <c r="AT81" i="21" s="1"/>
  <c r="AW81" i="21"/>
  <c r="C81" i="21"/>
  <c r="T81" i="21"/>
  <c r="X81" i="21"/>
  <c r="AI81" i="21"/>
  <c r="AJ81" i="21" s="1"/>
  <c r="AC81" i="21"/>
  <c r="AD81" i="21" s="1"/>
  <c r="AE81" i="21" s="1"/>
  <c r="U81" i="21"/>
  <c r="AF81" i="21"/>
  <c r="AQ81" i="21"/>
  <c r="AR81" i="21" s="1"/>
  <c r="V81" i="21"/>
  <c r="AG81" i="21"/>
  <c r="AH81" i="21" s="1"/>
  <c r="AP78" i="21"/>
  <c r="AO78" i="21"/>
  <c r="AD67" i="21"/>
  <c r="AE67" i="21" s="1"/>
  <c r="AD42" i="21"/>
  <c r="AC42" i="21"/>
  <c r="N12" i="21"/>
  <c r="AE12" i="21"/>
  <c r="V67" i="21"/>
  <c r="L67" i="21" s="1"/>
  <c r="L12" i="21"/>
  <c r="E105" i="21" s="1"/>
  <c r="E108" i="21" s="1"/>
  <c r="AF12" i="21"/>
  <c r="BJ68" i="1"/>
  <c r="BJ69" i="1"/>
  <c r="BJ73" i="1"/>
  <c r="BJ70" i="1"/>
  <c r="BJ74" i="1"/>
  <c r="BJ75" i="1"/>
  <c r="BJ76" i="1"/>
  <c r="BJ77" i="1"/>
  <c r="BJ78" i="1"/>
  <c r="BJ79" i="1"/>
  <c r="BJ80" i="1"/>
  <c r="BJ81" i="1"/>
  <c r="BJ82" i="1"/>
  <c r="BJ83" i="1"/>
  <c r="BJ84" i="1"/>
  <c r="BJ71" i="1"/>
  <c r="BJ85" i="1"/>
  <c r="BJ86" i="1"/>
  <c r="BJ87" i="1"/>
  <c r="BJ72" i="1"/>
  <c r="I89" i="1"/>
  <c r="BO71" i="1"/>
  <c r="BO68" i="21"/>
  <c r="BO72" i="21"/>
  <c r="BO76" i="21"/>
  <c r="BO80" i="21"/>
  <c r="BO84" i="21"/>
  <c r="BO67" i="21"/>
  <c r="BO71" i="21"/>
  <c r="BO75" i="21"/>
  <c r="BO79" i="21"/>
  <c r="BO83" i="21"/>
  <c r="AC47" i="21"/>
  <c r="AD47" i="21"/>
  <c r="AD16" i="21"/>
  <c r="AC16" i="21"/>
  <c r="AC11" i="21"/>
  <c r="AD11" i="21"/>
  <c r="E88" i="1"/>
  <c r="L83" i="1"/>
  <c r="V83" i="1"/>
  <c r="AC83" i="1"/>
  <c r="AD83" i="1" s="1"/>
  <c r="AE83" i="1" s="1"/>
  <c r="AG83" i="1"/>
  <c r="AH83" i="1" s="1"/>
  <c r="U83" i="1"/>
  <c r="AI83" i="1"/>
  <c r="AJ83" i="1" s="1"/>
  <c r="AQ83" i="1"/>
  <c r="AR83" i="1" s="1"/>
  <c r="AW83" i="1"/>
  <c r="C83" i="1"/>
  <c r="AY83" i="1" s="1"/>
  <c r="G126" i="1" s="1"/>
  <c r="H126" i="1" s="1"/>
  <c r="W83" i="1"/>
  <c r="AS83" i="1"/>
  <c r="AT83" i="1" s="1"/>
  <c r="H83" i="1"/>
  <c r="AN83" i="1" s="1"/>
  <c r="T83" i="1"/>
  <c r="AU83" i="1"/>
  <c r="AV83" i="1" s="1"/>
  <c r="X83" i="1"/>
  <c r="AO77" i="1"/>
  <c r="AP77" i="1"/>
  <c r="BE68" i="1"/>
  <c r="BE69" i="1"/>
  <c r="BE70" i="1"/>
  <c r="BE71" i="1"/>
  <c r="BE72" i="1"/>
  <c r="BE73" i="1"/>
  <c r="BE74" i="1"/>
  <c r="BE75" i="1"/>
  <c r="BE76" i="1"/>
  <c r="BE77" i="1"/>
  <c r="BE78" i="1"/>
  <c r="BE79" i="1"/>
  <c r="BE80" i="1"/>
  <c r="BE81" i="1"/>
  <c r="BE84" i="1"/>
  <c r="BE86" i="1"/>
  <c r="BE87" i="1"/>
  <c r="AD53" i="1"/>
  <c r="AC53" i="1"/>
  <c r="AC51" i="1"/>
  <c r="AD51" i="1"/>
  <c r="L40" i="1"/>
  <c r="AH31" i="1"/>
  <c r="V31" i="1"/>
  <c r="F134" i="1"/>
  <c r="AH25" i="1"/>
  <c r="V25" i="1"/>
  <c r="AC24" i="1"/>
  <c r="AD24" i="1"/>
  <c r="V12" i="1"/>
  <c r="AH12" i="1"/>
  <c r="BO85" i="21"/>
  <c r="BO82" i="21"/>
  <c r="BR67" i="21"/>
  <c r="BR71" i="21"/>
  <c r="BR75" i="21"/>
  <c r="BR79" i="21"/>
  <c r="BR83" i="21"/>
  <c r="BR66" i="21"/>
  <c r="BR70" i="21"/>
  <c r="BR74" i="21"/>
  <c r="BR78" i="21"/>
  <c r="BR82" i="21"/>
  <c r="BO81" i="21"/>
  <c r="AP79" i="21"/>
  <c r="H77" i="21"/>
  <c r="AN77" i="21" s="1"/>
  <c r="W77" i="21"/>
  <c r="AS77" i="21"/>
  <c r="AT77" i="21" s="1"/>
  <c r="AW77" i="21"/>
  <c r="C77" i="21"/>
  <c r="T77" i="21"/>
  <c r="X77" i="21"/>
  <c r="AI77" i="21"/>
  <c r="AJ77" i="21" s="1"/>
  <c r="L76" i="21"/>
  <c r="V76" i="21"/>
  <c r="AC76" i="21"/>
  <c r="AD76" i="21" s="1"/>
  <c r="AE76" i="21" s="1"/>
  <c r="AG76" i="21"/>
  <c r="AH76" i="21" s="1"/>
  <c r="H76" i="21"/>
  <c r="AN76" i="21" s="1"/>
  <c r="W76" i="21"/>
  <c r="AS76" i="21"/>
  <c r="AT76" i="21" s="1"/>
  <c r="AW76" i="21"/>
  <c r="AP75" i="21"/>
  <c r="H73" i="21"/>
  <c r="AN73" i="21" s="1"/>
  <c r="W73" i="21"/>
  <c r="AS73" i="21"/>
  <c r="AT73" i="21" s="1"/>
  <c r="AW73" i="21"/>
  <c r="C73" i="21"/>
  <c r="T73" i="21"/>
  <c r="X73" i="21"/>
  <c r="AI73" i="21"/>
  <c r="AJ73" i="21" s="1"/>
  <c r="L72" i="21"/>
  <c r="V72" i="21"/>
  <c r="AC72" i="21"/>
  <c r="AD72" i="21" s="1"/>
  <c r="AE72" i="21" s="1"/>
  <c r="AG72" i="21"/>
  <c r="AH72" i="21" s="1"/>
  <c r="H72" i="21"/>
  <c r="AN72" i="21" s="1"/>
  <c r="W72" i="21"/>
  <c r="AS72" i="21"/>
  <c r="AT72" i="21" s="1"/>
  <c r="AW72" i="21"/>
  <c r="AP71" i="21"/>
  <c r="BK70" i="21"/>
  <c r="H69" i="21"/>
  <c r="AN69" i="21" s="1"/>
  <c r="W69" i="21"/>
  <c r="AS69" i="21"/>
  <c r="AT69" i="21" s="1"/>
  <c r="AW69" i="21"/>
  <c r="C69" i="21"/>
  <c r="T69" i="21"/>
  <c r="X69" i="21"/>
  <c r="AI69" i="21"/>
  <c r="AJ69" i="21" s="1"/>
  <c r="L68" i="21"/>
  <c r="V68" i="21"/>
  <c r="AC68" i="21"/>
  <c r="AD68" i="21" s="1"/>
  <c r="AE68" i="21" s="1"/>
  <c r="AG68" i="21"/>
  <c r="AH68" i="21" s="1"/>
  <c r="H68" i="21"/>
  <c r="AN68" i="21" s="1"/>
  <c r="W68" i="21"/>
  <c r="AS68" i="21"/>
  <c r="AT68" i="21" s="1"/>
  <c r="AW68" i="21"/>
  <c r="AQ67" i="21"/>
  <c r="AR67" i="21" s="1"/>
  <c r="E67" i="21"/>
  <c r="AC43" i="21"/>
  <c r="AD43" i="21"/>
  <c r="AC17" i="21"/>
  <c r="AD17" i="21"/>
  <c r="AO80" i="1"/>
  <c r="AP80" i="1"/>
  <c r="BK68" i="1"/>
  <c r="BK72" i="1"/>
  <c r="BK73" i="1"/>
  <c r="BK81" i="1"/>
  <c r="BK69" i="1"/>
  <c r="BK70" i="1"/>
  <c r="BK71" i="1"/>
  <c r="BK74" i="1"/>
  <c r="BK75" i="1"/>
  <c r="BK76" i="1"/>
  <c r="BK77" i="1"/>
  <c r="BK78" i="1"/>
  <c r="BK79" i="1"/>
  <c r="BK80" i="1"/>
  <c r="BK84" i="1"/>
  <c r="BK85" i="1"/>
  <c r="BK86" i="1"/>
  <c r="BK87" i="1"/>
  <c r="BK83" i="1"/>
  <c r="BF68" i="1"/>
  <c r="BF69" i="1"/>
  <c r="BF72" i="1"/>
  <c r="BF73" i="1"/>
  <c r="BF75" i="1"/>
  <c r="BF76" i="1"/>
  <c r="BF77" i="1"/>
  <c r="BF78" i="1"/>
  <c r="BF79" i="1"/>
  <c r="BF80" i="1"/>
  <c r="BF81" i="1"/>
  <c r="BF82" i="1"/>
  <c r="BF83" i="1"/>
  <c r="BF84" i="1"/>
  <c r="BF85" i="1"/>
  <c r="BF86" i="1"/>
  <c r="BF87" i="1"/>
  <c r="BF74" i="1"/>
  <c r="BF70" i="1"/>
  <c r="BR84" i="21"/>
  <c r="BR80" i="21"/>
  <c r="BR77" i="21"/>
  <c r="AG77" i="21"/>
  <c r="AH77" i="21" s="1"/>
  <c r="V77" i="21"/>
  <c r="AU76" i="21"/>
  <c r="AV76" i="21" s="1"/>
  <c r="AB76" i="21"/>
  <c r="C76" i="21"/>
  <c r="BK68" i="21"/>
  <c r="BK72" i="21"/>
  <c r="BK76" i="21"/>
  <c r="BK80" i="21"/>
  <c r="BK84" i="21"/>
  <c r="BK67" i="21"/>
  <c r="BK64" i="21" s="1"/>
  <c r="BX75" i="21" s="1"/>
  <c r="BV75" i="21" s="1"/>
  <c r="BK71" i="21"/>
  <c r="BK75" i="21"/>
  <c r="BK79" i="21"/>
  <c r="BK83" i="21"/>
  <c r="BR73" i="21"/>
  <c r="AG73" i="21"/>
  <c r="AH73" i="21" s="1"/>
  <c r="V73" i="21"/>
  <c r="AU72" i="21"/>
  <c r="AV72" i="21" s="1"/>
  <c r="AB72" i="21"/>
  <c r="C72" i="21"/>
  <c r="BG68" i="21"/>
  <c r="BG72" i="21"/>
  <c r="BG76" i="21"/>
  <c r="BG80" i="21"/>
  <c r="BG84" i="21"/>
  <c r="BG67" i="21"/>
  <c r="BG71" i="21"/>
  <c r="BG75" i="21"/>
  <c r="BG79" i="21"/>
  <c r="BG83" i="21"/>
  <c r="BR69" i="21"/>
  <c r="AG69" i="21"/>
  <c r="AH69" i="21" s="1"/>
  <c r="V69" i="21"/>
  <c r="AU68" i="21"/>
  <c r="AV68" i="21" s="1"/>
  <c r="AB68" i="21"/>
  <c r="C68" i="21"/>
  <c r="BC68" i="21"/>
  <c r="BC64" i="21" s="1"/>
  <c r="BX67" i="21" s="1"/>
  <c r="BV67" i="21" s="1"/>
  <c r="BC72" i="21"/>
  <c r="BC76" i="21"/>
  <c r="BC80" i="21"/>
  <c r="BC84" i="21"/>
  <c r="BC67" i="21"/>
  <c r="BC71" i="21"/>
  <c r="BC75" i="21"/>
  <c r="BC79" i="21"/>
  <c r="BC83" i="21"/>
  <c r="AS67" i="21"/>
  <c r="AT67" i="21" s="1"/>
  <c r="AF67" i="21"/>
  <c r="I86" i="21"/>
  <c r="BO66" i="21"/>
  <c r="BG66" i="21"/>
  <c r="BB67" i="21"/>
  <c r="BB71" i="21"/>
  <c r="BB75" i="21"/>
  <c r="BB79" i="21"/>
  <c r="BB83" i="21"/>
  <c r="BB66" i="21"/>
  <c r="BB64" i="21" s="1"/>
  <c r="BX66" i="21" s="1"/>
  <c r="BV66" i="21" s="1"/>
  <c r="BB70" i="21"/>
  <c r="BB74" i="21"/>
  <c r="BB78" i="21"/>
  <c r="BB82" i="21"/>
  <c r="AC55" i="21"/>
  <c r="AD55" i="21"/>
  <c r="M31" i="21"/>
  <c r="BR68" i="1"/>
  <c r="BR69" i="1"/>
  <c r="BR71" i="1"/>
  <c r="BR72" i="1"/>
  <c r="BR74" i="1"/>
  <c r="BR75" i="1"/>
  <c r="BR76" i="1"/>
  <c r="BR77" i="1"/>
  <c r="BR78" i="1"/>
  <c r="BR79" i="1"/>
  <c r="BR80" i="1"/>
  <c r="BR81" i="1"/>
  <c r="BR82" i="1"/>
  <c r="BR83" i="1"/>
  <c r="BR84" i="1"/>
  <c r="BR70" i="1"/>
  <c r="BR73" i="1"/>
  <c r="BR85" i="1"/>
  <c r="BR86" i="1"/>
  <c r="BR87" i="1"/>
  <c r="AO81" i="1"/>
  <c r="AP81" i="1"/>
  <c r="BN68" i="1"/>
  <c r="BN69" i="1"/>
  <c r="BN70" i="1"/>
  <c r="BN71" i="1"/>
  <c r="BN74" i="1"/>
  <c r="BN75" i="1"/>
  <c r="BN76" i="1"/>
  <c r="BN77" i="1"/>
  <c r="BN78" i="1"/>
  <c r="BN79" i="1"/>
  <c r="BN80" i="1"/>
  <c r="BN81" i="1"/>
  <c r="BN82" i="1"/>
  <c r="BN83" i="1"/>
  <c r="BN84" i="1"/>
  <c r="BN85" i="1"/>
  <c r="BN86" i="1"/>
  <c r="BN87" i="1"/>
  <c r="BN72" i="1"/>
  <c r="AO76" i="1"/>
  <c r="AP76" i="1"/>
  <c r="BN73" i="1"/>
  <c r="AP71" i="1"/>
  <c r="AO71" i="1"/>
  <c r="AF87" i="1"/>
  <c r="L82" i="1"/>
  <c r="V82" i="1"/>
  <c r="AC82" i="1"/>
  <c r="AD82" i="1" s="1"/>
  <c r="AE82" i="1" s="1"/>
  <c r="AG82" i="1"/>
  <c r="AH82" i="1" s="1"/>
  <c r="H82" i="1"/>
  <c r="AN82" i="1" s="1"/>
  <c r="T82" i="1"/>
  <c r="AB82" i="1"/>
  <c r="AU82" i="1"/>
  <c r="AV82" i="1" s="1"/>
  <c r="U82" i="1"/>
  <c r="AI82" i="1"/>
  <c r="AJ82" i="1" s="1"/>
  <c r="AQ82" i="1"/>
  <c r="AR82" i="1" s="1"/>
  <c r="AW82" i="1"/>
  <c r="BM68" i="1"/>
  <c r="BM69" i="1"/>
  <c r="BM70" i="1"/>
  <c r="BM71" i="1"/>
  <c r="BM72" i="1"/>
  <c r="BM73" i="1"/>
  <c r="BM74" i="1"/>
  <c r="BM75" i="1"/>
  <c r="BM76" i="1"/>
  <c r="BM77" i="1"/>
  <c r="BM78" i="1"/>
  <c r="BM79" i="1"/>
  <c r="BM80" i="1"/>
  <c r="BM83" i="1"/>
  <c r="BM82" i="1"/>
  <c r="AO79" i="1"/>
  <c r="AP79" i="1"/>
  <c r="BL76" i="1"/>
  <c r="BI68" i="1"/>
  <c r="BI69" i="1"/>
  <c r="BI70" i="1"/>
  <c r="BI71" i="1"/>
  <c r="BI72" i="1"/>
  <c r="BI73" i="1"/>
  <c r="BI74" i="1"/>
  <c r="BI75" i="1"/>
  <c r="BI76" i="1"/>
  <c r="BI77" i="1"/>
  <c r="BI78" i="1"/>
  <c r="BI79" i="1"/>
  <c r="BI80" i="1"/>
  <c r="BI84" i="1"/>
  <c r="BI83" i="1"/>
  <c r="AO75" i="1"/>
  <c r="AP75" i="1"/>
  <c r="BD66" i="1"/>
  <c r="BX70" i="1" s="1"/>
  <c r="BV70" i="1" s="1"/>
  <c r="AI74" i="21"/>
  <c r="AJ74" i="21" s="1"/>
  <c r="X74" i="21"/>
  <c r="T74" i="21"/>
  <c r="AI70" i="21"/>
  <c r="AJ70" i="21" s="1"/>
  <c r="X70" i="21"/>
  <c r="T70" i="21"/>
  <c r="AI66" i="21"/>
  <c r="AJ66" i="21" s="1"/>
  <c r="X66" i="21"/>
  <c r="T66" i="21"/>
  <c r="V11" i="21"/>
  <c r="AH11" i="21"/>
  <c r="L87" i="1"/>
  <c r="V87" i="1"/>
  <c r="AC87" i="1"/>
  <c r="AD87" i="1" s="1"/>
  <c r="AE87" i="1" s="1"/>
  <c r="AG87" i="1"/>
  <c r="AH87" i="1" s="1"/>
  <c r="H87" i="1"/>
  <c r="AN87" i="1" s="1"/>
  <c r="W87" i="1"/>
  <c r="AS87" i="1"/>
  <c r="AT87" i="1" s="1"/>
  <c r="AW87" i="1"/>
  <c r="AP85" i="1"/>
  <c r="BL71" i="1"/>
  <c r="BL68" i="1"/>
  <c r="BL66" i="1" s="1"/>
  <c r="BX78" i="1" s="1"/>
  <c r="BV78" i="1" s="1"/>
  <c r="BL72" i="1"/>
  <c r="BL82" i="1"/>
  <c r="BL81" i="1"/>
  <c r="AO78" i="1"/>
  <c r="AP78" i="1"/>
  <c r="BL75" i="1"/>
  <c r="AO70" i="1"/>
  <c r="AP70" i="1"/>
  <c r="BL69" i="1"/>
  <c r="AP68" i="1"/>
  <c r="AO68" i="1"/>
  <c r="BS68" i="1"/>
  <c r="BS70" i="1"/>
  <c r="BS71" i="1"/>
  <c r="L84" i="1"/>
  <c r="V84" i="1"/>
  <c r="AC84" i="1"/>
  <c r="AD84" i="1" s="1"/>
  <c r="AE84" i="1" s="1"/>
  <c r="AG84" i="1"/>
  <c r="AH84" i="1" s="1"/>
  <c r="BS82" i="1"/>
  <c r="BS80" i="1"/>
  <c r="BS79" i="1"/>
  <c r="BS78" i="1"/>
  <c r="BS77" i="1"/>
  <c r="BS76" i="1"/>
  <c r="BS75" i="1"/>
  <c r="BS74" i="1"/>
  <c r="BS73" i="1"/>
  <c r="AO73" i="1"/>
  <c r="AP73" i="1"/>
  <c r="AC43" i="1"/>
  <c r="AD43" i="1"/>
  <c r="L41" i="1"/>
  <c r="V20" i="1"/>
  <c r="AH20" i="1"/>
  <c r="AF11" i="1"/>
  <c r="L11" i="1"/>
  <c r="AE11" i="1"/>
  <c r="V68" i="1"/>
  <c r="AD68" i="1" s="1"/>
  <c r="AE68" i="1" s="1"/>
  <c r="N11" i="1"/>
  <c r="AS84" i="1"/>
  <c r="AT84" i="1" s="1"/>
  <c r="W84" i="1"/>
  <c r="C84" i="1"/>
  <c r="AY84" i="1" s="1"/>
  <c r="G129" i="1" s="1"/>
  <c r="H129" i="1" s="1"/>
  <c r="BS83" i="1"/>
  <c r="BS72" i="1"/>
  <c r="BC70" i="1"/>
  <c r="BC74" i="1"/>
  <c r="BC68" i="1"/>
  <c r="BC71" i="1"/>
  <c r="AG81" i="1"/>
  <c r="AH81" i="1" s="1"/>
  <c r="AC81" i="1"/>
  <c r="AD81" i="1" s="1"/>
  <c r="AE81" i="1" s="1"/>
  <c r="V81" i="1"/>
  <c r="AG80" i="1"/>
  <c r="AH80" i="1" s="1"/>
  <c r="AC80" i="1"/>
  <c r="AD80" i="1" s="1"/>
  <c r="AE80" i="1" s="1"/>
  <c r="V80" i="1"/>
  <c r="AG79" i="1"/>
  <c r="AH79" i="1" s="1"/>
  <c r="AC79" i="1"/>
  <c r="AD79" i="1" s="1"/>
  <c r="AE79" i="1" s="1"/>
  <c r="V79" i="1"/>
  <c r="AG78" i="1"/>
  <c r="AH78" i="1" s="1"/>
  <c r="AC78" i="1"/>
  <c r="AD78" i="1" s="1"/>
  <c r="AE78" i="1" s="1"/>
  <c r="V78" i="1"/>
  <c r="AG77" i="1"/>
  <c r="AH77" i="1" s="1"/>
  <c r="AC77" i="1"/>
  <c r="AD77" i="1" s="1"/>
  <c r="AE77" i="1" s="1"/>
  <c r="V77" i="1"/>
  <c r="AG76" i="1"/>
  <c r="AH76" i="1" s="1"/>
  <c r="AC76" i="1"/>
  <c r="AD76" i="1" s="1"/>
  <c r="AE76" i="1" s="1"/>
  <c r="V76" i="1"/>
  <c r="AG75" i="1"/>
  <c r="AH75" i="1" s="1"/>
  <c r="AC75" i="1"/>
  <c r="AD75" i="1" s="1"/>
  <c r="AE75" i="1" s="1"/>
  <c r="V75" i="1"/>
  <c r="BG72" i="1"/>
  <c r="BH71" i="1"/>
  <c r="BH69" i="1"/>
  <c r="BH66" i="1" s="1"/>
  <c r="BX74" i="1" s="1"/>
  <c r="BV74" i="1" s="1"/>
  <c r="AD54" i="1"/>
  <c r="AC54" i="1"/>
  <c r="V28" i="1"/>
  <c r="AH28" i="1"/>
  <c r="BG71" i="1"/>
  <c r="BG66" i="1" s="1"/>
  <c r="BX73" i="1" s="1"/>
  <c r="BV73" i="1" s="1"/>
  <c r="BB66" i="1"/>
  <c r="BX68" i="1" s="1"/>
  <c r="BV68" i="1" s="1"/>
  <c r="AC59" i="1"/>
  <c r="AD59" i="1"/>
  <c r="AD46" i="1"/>
  <c r="AC46" i="1"/>
  <c r="AH17" i="1"/>
  <c r="V17" i="1"/>
  <c r="AC16" i="1"/>
  <c r="AD16" i="1"/>
  <c r="M32" i="1"/>
  <c r="I62" i="1" s="1"/>
  <c r="O62" i="1" s="1"/>
  <c r="AC28" i="1"/>
  <c r="AD28" i="1"/>
  <c r="AC20" i="1"/>
  <c r="AD20" i="1"/>
  <c r="AC12" i="1"/>
  <c r="AD12" i="1"/>
  <c r="C68" i="1"/>
  <c r="T68" i="1"/>
  <c r="X68" i="1"/>
  <c r="AI68" i="1"/>
  <c r="AJ68" i="1" s="1"/>
  <c r="AX68" i="1"/>
  <c r="V24" i="1"/>
  <c r="AH24" i="1"/>
  <c r="V16" i="1"/>
  <c r="AH16" i="1"/>
  <c r="M67" i="21" l="1"/>
  <c r="M86" i="21" s="1"/>
  <c r="L86" i="21"/>
  <c r="P4" i="21" s="1"/>
  <c r="BS66" i="1"/>
  <c r="BX85" i="1" s="1"/>
  <c r="BV85" i="1" s="1"/>
  <c r="L11" i="21"/>
  <c r="AE11" i="21"/>
  <c r="P1" i="21" s="1"/>
  <c r="AF11" i="21"/>
  <c r="N11" i="21"/>
  <c r="N31" i="21" s="1"/>
  <c r="P2" i="21" s="1"/>
  <c r="BR66" i="1"/>
  <c r="BX84" i="1" s="1"/>
  <c r="BV84" i="1" s="1"/>
  <c r="F107" i="21"/>
  <c r="G107" i="21" s="1"/>
  <c r="F106" i="21"/>
  <c r="G106" i="21" s="1"/>
  <c r="F113" i="21"/>
  <c r="G113" i="21" s="1"/>
  <c r="H113" i="21" s="1"/>
  <c r="I113" i="21" s="1"/>
  <c r="F105" i="21"/>
  <c r="G105" i="21" s="1"/>
  <c r="F109" i="21"/>
  <c r="F111" i="21"/>
  <c r="G111" i="21" s="1"/>
  <c r="F103" i="21"/>
  <c r="F104" i="21"/>
  <c r="G104" i="21" s="1"/>
  <c r="F110" i="21"/>
  <c r="G110" i="21" s="1"/>
  <c r="AO68" i="21"/>
  <c r="AP68" i="21"/>
  <c r="BM66" i="21"/>
  <c r="BM70" i="21"/>
  <c r="BM74" i="21"/>
  <c r="BM78" i="21"/>
  <c r="BM82" i="21"/>
  <c r="BM69" i="21"/>
  <c r="BM73" i="21"/>
  <c r="BM77" i="21"/>
  <c r="BM81" i="21"/>
  <c r="BM85" i="21"/>
  <c r="BM79" i="21"/>
  <c r="BM80" i="21"/>
  <c r="BM83" i="21"/>
  <c r="BM84" i="21"/>
  <c r="BM71" i="21"/>
  <c r="BM72" i="21"/>
  <c r="BM68" i="21"/>
  <c r="BM76" i="21"/>
  <c r="BM67" i="21"/>
  <c r="BM75" i="21"/>
  <c r="AO83" i="1"/>
  <c r="AP83" i="1"/>
  <c r="BN64" i="21"/>
  <c r="BX78" i="21" s="1"/>
  <c r="BV78" i="21" s="1"/>
  <c r="BM67" i="22"/>
  <c r="BM71" i="22"/>
  <c r="BM75" i="22"/>
  <c r="BM79" i="22"/>
  <c r="BM83" i="22"/>
  <c r="BM69" i="22"/>
  <c r="BM78" i="22"/>
  <c r="BM80" i="22"/>
  <c r="BM70" i="22"/>
  <c r="BM72" i="22"/>
  <c r="BM77" i="22"/>
  <c r="BM68" i="22"/>
  <c r="BM66" i="22"/>
  <c r="BM76" i="22"/>
  <c r="BM85" i="22"/>
  <c r="BM73" i="22"/>
  <c r="BM74" i="22"/>
  <c r="BM81" i="22"/>
  <c r="BM82" i="22"/>
  <c r="BM84" i="22"/>
  <c r="I63" i="1"/>
  <c r="L60" i="1"/>
  <c r="BM66" i="1"/>
  <c r="BX79" i="1" s="1"/>
  <c r="BV79" i="1" s="1"/>
  <c r="G127" i="1"/>
  <c r="H127" i="1" s="1"/>
  <c r="BF68" i="22"/>
  <c r="BF72" i="22"/>
  <c r="BF76" i="22"/>
  <c r="BF80" i="22"/>
  <c r="BF84" i="22"/>
  <c r="BF71" i="22"/>
  <c r="BF74" i="22"/>
  <c r="BF81" i="22"/>
  <c r="BF67" i="22"/>
  <c r="BF66" i="22"/>
  <c r="BF73" i="22"/>
  <c r="BF79" i="22"/>
  <c r="BF82" i="22"/>
  <c r="BF77" i="22"/>
  <c r="BF78" i="22"/>
  <c r="BF85" i="22"/>
  <c r="BF69" i="22"/>
  <c r="BF70" i="22"/>
  <c r="BF75" i="22"/>
  <c r="BF83" i="22"/>
  <c r="AO69" i="21"/>
  <c r="AP69" i="21"/>
  <c r="C38" i="11"/>
  <c r="F13" i="11"/>
  <c r="F21" i="11" s="1"/>
  <c r="D25" i="11"/>
  <c r="AO85" i="21"/>
  <c r="AP85" i="21"/>
  <c r="AP82" i="1"/>
  <c r="AO82" i="1"/>
  <c r="BE66" i="21"/>
  <c r="BE70" i="21"/>
  <c r="BE74" i="21"/>
  <c r="BE78" i="21"/>
  <c r="BE82" i="21"/>
  <c r="BE69" i="21"/>
  <c r="BE73" i="21"/>
  <c r="BE77" i="21"/>
  <c r="BE81" i="21"/>
  <c r="BE85" i="21"/>
  <c r="BE79" i="21"/>
  <c r="BE80" i="21"/>
  <c r="BE83" i="21"/>
  <c r="BE84" i="21"/>
  <c r="BE71" i="21"/>
  <c r="BE68" i="21"/>
  <c r="BE72" i="21"/>
  <c r="BE76" i="21"/>
  <c r="BE67" i="21"/>
  <c r="BE75" i="21"/>
  <c r="BQ66" i="21"/>
  <c r="BQ70" i="21"/>
  <c r="BQ74" i="21"/>
  <c r="BQ78" i="21"/>
  <c r="BQ82" i="21"/>
  <c r="BQ69" i="21"/>
  <c r="BQ73" i="21"/>
  <c r="BQ77" i="21"/>
  <c r="BQ81" i="21"/>
  <c r="BQ85" i="21"/>
  <c r="BQ67" i="21"/>
  <c r="BQ68" i="21"/>
  <c r="BQ71" i="21"/>
  <c r="BQ72" i="21"/>
  <c r="BQ75" i="21"/>
  <c r="BQ76" i="21"/>
  <c r="BQ79" i="21"/>
  <c r="BQ83" i="21"/>
  <c r="BQ84" i="21"/>
  <c r="BQ80" i="21"/>
  <c r="BS64" i="22"/>
  <c r="BX83" i="22" s="1"/>
  <c r="BV83" i="22" s="1"/>
  <c r="AP75" i="22"/>
  <c r="AO75" i="22"/>
  <c r="BD64" i="22"/>
  <c r="BX68" i="22" s="1"/>
  <c r="BV68" i="22" s="1"/>
  <c r="BU66" i="21"/>
  <c r="BU70" i="21"/>
  <c r="BU74" i="21"/>
  <c r="BU78" i="21"/>
  <c r="BU82" i="21"/>
  <c r="BU69" i="21"/>
  <c r="BU73" i="21"/>
  <c r="BU77" i="21"/>
  <c r="BU81" i="21"/>
  <c r="BU85" i="21"/>
  <c r="BU79" i="21"/>
  <c r="BU80" i="21"/>
  <c r="BU83" i="21"/>
  <c r="BU84" i="21"/>
  <c r="BU67" i="21"/>
  <c r="BU75" i="21"/>
  <c r="BU68" i="21"/>
  <c r="BU71" i="21"/>
  <c r="BU76" i="21"/>
  <c r="BU72" i="21"/>
  <c r="BK64" i="22"/>
  <c r="BX75" i="22" s="1"/>
  <c r="BV75" i="22" s="1"/>
  <c r="BR68" i="22"/>
  <c r="BR72" i="22"/>
  <c r="BR76" i="22"/>
  <c r="BR80" i="22"/>
  <c r="BR84" i="22"/>
  <c r="BR69" i="22"/>
  <c r="BR75" i="22"/>
  <c r="BR78" i="22"/>
  <c r="BR67" i="22"/>
  <c r="BR70" i="22"/>
  <c r="BR77" i="22"/>
  <c r="BR66" i="22"/>
  <c r="BR71" i="22"/>
  <c r="BR74" i="22"/>
  <c r="BR79" i="22"/>
  <c r="BR81" i="22"/>
  <c r="BR82" i="22"/>
  <c r="BR73" i="22"/>
  <c r="BR83" i="22"/>
  <c r="BR85" i="22"/>
  <c r="BQ64" i="22"/>
  <c r="BX81" i="22" s="1"/>
  <c r="BV81" i="22" s="1"/>
  <c r="L99" i="1"/>
  <c r="J31" i="1" s="1"/>
  <c r="AE31" i="1" s="1"/>
  <c r="BL64" i="22"/>
  <c r="BX76" i="22" s="1"/>
  <c r="BV76" i="22" s="1"/>
  <c r="L32" i="1"/>
  <c r="D11" i="11" s="1"/>
  <c r="O36" i="1"/>
  <c r="F116" i="1"/>
  <c r="F139" i="1"/>
  <c r="AO87" i="1"/>
  <c r="AP87" i="1"/>
  <c r="BP72" i="1"/>
  <c r="BP69" i="1"/>
  <c r="BP73" i="1"/>
  <c r="BP74" i="1"/>
  <c r="BP75" i="1"/>
  <c r="BP76" i="1"/>
  <c r="BP77" i="1"/>
  <c r="BP78" i="1"/>
  <c r="BP79" i="1"/>
  <c r="BP80" i="1"/>
  <c r="BP81" i="1"/>
  <c r="BP84" i="1"/>
  <c r="BP71" i="1"/>
  <c r="BP82" i="1"/>
  <c r="BP85" i="1"/>
  <c r="BP87" i="1"/>
  <c r="BP68" i="1"/>
  <c r="BP86" i="1"/>
  <c r="BP70" i="1"/>
  <c r="BP83" i="1"/>
  <c r="BN66" i="1"/>
  <c r="BX80" i="1" s="1"/>
  <c r="BV80" i="1" s="1"/>
  <c r="BG64" i="21"/>
  <c r="BX71" i="21" s="1"/>
  <c r="BV71" i="21" s="1"/>
  <c r="BK66" i="1"/>
  <c r="BX77" i="1" s="1"/>
  <c r="BV77" i="1" s="1"/>
  <c r="AO72" i="21"/>
  <c r="AP72" i="21"/>
  <c r="AO73" i="21"/>
  <c r="AP73" i="21"/>
  <c r="BR64" i="21"/>
  <c r="BX82" i="21" s="1"/>
  <c r="BV82" i="21" s="1"/>
  <c r="BE66" i="1"/>
  <c r="BX71" i="1" s="1"/>
  <c r="BV71" i="1" s="1"/>
  <c r="G128" i="1"/>
  <c r="H128" i="1" s="1"/>
  <c r="G114" i="1"/>
  <c r="H114" i="1" s="1"/>
  <c r="BO66" i="1"/>
  <c r="BX81" i="1" s="1"/>
  <c r="BV81" i="1" s="1"/>
  <c r="AO86" i="1"/>
  <c r="AP86" i="1"/>
  <c r="BF64" i="21"/>
  <c r="BX70" i="21" s="1"/>
  <c r="BV70" i="21" s="1"/>
  <c r="AO80" i="21"/>
  <c r="AP80" i="21"/>
  <c r="AO84" i="21"/>
  <c r="AP84" i="21"/>
  <c r="G117" i="1"/>
  <c r="H117" i="1" s="1"/>
  <c r="AO78" i="22"/>
  <c r="AP78" i="22"/>
  <c r="AP81" i="22"/>
  <c r="AO81" i="22"/>
  <c r="AP73" i="22"/>
  <c r="AO73" i="22"/>
  <c r="BI64" i="22"/>
  <c r="BX73" i="22" s="1"/>
  <c r="BV73" i="22" s="1"/>
  <c r="BO69" i="22"/>
  <c r="BO73" i="22"/>
  <c r="BO77" i="22"/>
  <c r="BO81" i="22"/>
  <c r="BO85" i="22"/>
  <c r="BO67" i="22"/>
  <c r="BO68" i="22"/>
  <c r="BO70" i="22"/>
  <c r="BO83" i="22"/>
  <c r="BO84" i="22"/>
  <c r="BO66" i="22"/>
  <c r="BO75" i="22"/>
  <c r="BO76" i="22"/>
  <c r="BO78" i="22"/>
  <c r="BO74" i="22"/>
  <c r="BO80" i="22"/>
  <c r="BO72" i="22"/>
  <c r="BO71" i="22"/>
  <c r="BO79" i="22"/>
  <c r="BO82" i="22"/>
  <c r="BL69" i="21"/>
  <c r="BL73" i="21"/>
  <c r="BL77" i="21"/>
  <c r="BL81" i="21"/>
  <c r="BL85" i="21"/>
  <c r="BL68" i="21"/>
  <c r="BL72" i="21"/>
  <c r="BL76" i="21"/>
  <c r="BL80" i="21"/>
  <c r="BL84" i="21"/>
  <c r="BL79" i="21"/>
  <c r="BL82" i="21"/>
  <c r="BL83" i="21"/>
  <c r="BL67" i="21"/>
  <c r="BL70" i="21"/>
  <c r="BL71" i="21"/>
  <c r="BL74" i="21"/>
  <c r="BL75" i="21"/>
  <c r="BL78" i="21"/>
  <c r="BL66" i="21"/>
  <c r="BL64" i="21" s="1"/>
  <c r="BX76" i="21" s="1"/>
  <c r="BV76" i="21" s="1"/>
  <c r="BQ68" i="1"/>
  <c r="BQ69" i="1"/>
  <c r="BQ70" i="1"/>
  <c r="BQ71" i="1"/>
  <c r="BQ72" i="1"/>
  <c r="BQ73" i="1"/>
  <c r="BQ74" i="1"/>
  <c r="BQ75" i="1"/>
  <c r="BQ76" i="1"/>
  <c r="BQ77" i="1"/>
  <c r="BQ78" i="1"/>
  <c r="BQ79" i="1"/>
  <c r="BQ80" i="1"/>
  <c r="BQ82" i="1"/>
  <c r="BQ81" i="1"/>
  <c r="BQ83" i="1"/>
  <c r="BQ84" i="1"/>
  <c r="BQ87" i="1"/>
  <c r="BQ85" i="1"/>
  <c r="BQ86" i="1"/>
  <c r="AO81" i="21"/>
  <c r="AP81" i="21"/>
  <c r="BJ68" i="22"/>
  <c r="BJ72" i="22"/>
  <c r="BJ76" i="22"/>
  <c r="BJ80" i="22"/>
  <c r="BJ84" i="22"/>
  <c r="BJ67" i="22"/>
  <c r="BJ70" i="22"/>
  <c r="BJ77" i="22"/>
  <c r="BJ83" i="22"/>
  <c r="BJ66" i="22"/>
  <c r="BJ69" i="22"/>
  <c r="BJ75" i="22"/>
  <c r="BJ78" i="22"/>
  <c r="BJ79" i="22"/>
  <c r="BJ82" i="22"/>
  <c r="BJ85" i="22"/>
  <c r="BJ71" i="22"/>
  <c r="BJ74" i="22"/>
  <c r="BJ81" i="22"/>
  <c r="BJ73" i="22"/>
  <c r="AO82" i="22"/>
  <c r="AP82" i="22"/>
  <c r="BU64" i="22"/>
  <c r="BX85" i="22" s="1"/>
  <c r="BV85" i="22" s="1"/>
  <c r="AO70" i="22"/>
  <c r="AP70" i="22"/>
  <c r="P1" i="1"/>
  <c r="BD69" i="21"/>
  <c r="BD73" i="21"/>
  <c r="BD77" i="21"/>
  <c r="BD81" i="21"/>
  <c r="BD85" i="21"/>
  <c r="BD68" i="21"/>
  <c r="BD72" i="21"/>
  <c r="BD76" i="21"/>
  <c r="BD80" i="21"/>
  <c r="BD84" i="21"/>
  <c r="BD79" i="21"/>
  <c r="BD82" i="21"/>
  <c r="BD83" i="21"/>
  <c r="BD67" i="21"/>
  <c r="BD70" i="21"/>
  <c r="BD71" i="21"/>
  <c r="BD74" i="21"/>
  <c r="BD75" i="21"/>
  <c r="BD78" i="21"/>
  <c r="BD66" i="21"/>
  <c r="BD64" i="21" s="1"/>
  <c r="BX68" i="21" s="1"/>
  <c r="BV68" i="21" s="1"/>
  <c r="E68" i="1"/>
  <c r="L68" i="1"/>
  <c r="AS68" i="1"/>
  <c r="AT68" i="1" s="1"/>
  <c r="AQ68" i="1"/>
  <c r="AR68" i="1" s="1"/>
  <c r="G119" i="1"/>
  <c r="H119" i="1" s="1"/>
  <c r="G122" i="1"/>
  <c r="H122" i="1" s="1"/>
  <c r="G130" i="1"/>
  <c r="H130" i="1" s="1"/>
  <c r="G121" i="1"/>
  <c r="H121" i="1" s="1"/>
  <c r="G124" i="1"/>
  <c r="H124" i="1" s="1"/>
  <c r="G132" i="1"/>
  <c r="H132" i="1" s="1"/>
  <c r="G120" i="1"/>
  <c r="H120" i="1" s="1"/>
  <c r="G134" i="1"/>
  <c r="H134" i="1" s="1"/>
  <c r="G118" i="1"/>
  <c r="H118" i="1" s="1"/>
  <c r="G123" i="1"/>
  <c r="H123" i="1" s="1"/>
  <c r="G125" i="1"/>
  <c r="H125" i="1" s="1"/>
  <c r="G133" i="1"/>
  <c r="H133" i="1" s="1"/>
  <c r="G131" i="1"/>
  <c r="H131" i="1" s="1"/>
  <c r="BC66" i="1"/>
  <c r="BX69" i="1" s="1"/>
  <c r="BV69" i="1" s="1"/>
  <c r="BU68" i="1"/>
  <c r="BU69" i="1"/>
  <c r="BU70" i="1"/>
  <c r="BU71" i="1"/>
  <c r="BU72" i="1"/>
  <c r="BU73" i="1"/>
  <c r="BU74" i="1"/>
  <c r="BU75" i="1"/>
  <c r="BU76" i="1"/>
  <c r="BU77" i="1"/>
  <c r="BU78" i="1"/>
  <c r="BU79" i="1"/>
  <c r="BU80" i="1"/>
  <c r="BU81" i="1"/>
  <c r="BU84" i="1"/>
  <c r="BU83" i="1"/>
  <c r="BU85" i="1"/>
  <c r="BU82" i="1"/>
  <c r="BU86" i="1"/>
  <c r="BU87" i="1"/>
  <c r="BI66" i="1"/>
  <c r="BX75" i="1" s="1"/>
  <c r="BV75" i="1" s="1"/>
  <c r="BO64" i="21"/>
  <c r="BX79" i="21" s="1"/>
  <c r="BV79" i="21" s="1"/>
  <c r="BF66" i="1"/>
  <c r="BX72" i="1" s="1"/>
  <c r="BV72" i="1" s="1"/>
  <c r="BH69" i="21"/>
  <c r="BH73" i="21"/>
  <c r="BH77" i="21"/>
  <c r="BH81" i="21"/>
  <c r="BH85" i="21"/>
  <c r="BH68" i="21"/>
  <c r="BH72" i="21"/>
  <c r="BH76" i="21"/>
  <c r="BH80" i="21"/>
  <c r="BH84" i="21"/>
  <c r="BH67" i="21"/>
  <c r="BH70" i="21"/>
  <c r="BH71" i="21"/>
  <c r="BH74" i="21"/>
  <c r="BH75" i="21"/>
  <c r="BH78" i="21"/>
  <c r="BH66" i="21"/>
  <c r="BH64" i="21" s="1"/>
  <c r="BX72" i="21" s="1"/>
  <c r="BV72" i="21" s="1"/>
  <c r="BH79" i="21"/>
  <c r="BH83" i="21"/>
  <c r="BH82" i="21"/>
  <c r="BI66" i="21"/>
  <c r="BI70" i="21"/>
  <c r="BI74" i="21"/>
  <c r="BI78" i="21"/>
  <c r="BI82" i="21"/>
  <c r="BI69" i="21"/>
  <c r="BI73" i="21"/>
  <c r="BI77" i="21"/>
  <c r="BI81" i="21"/>
  <c r="BI85" i="21"/>
  <c r="BI67" i="21"/>
  <c r="BI68" i="21"/>
  <c r="BI71" i="21"/>
  <c r="BI72" i="21"/>
  <c r="BI75" i="21"/>
  <c r="BI76" i="21"/>
  <c r="BI80" i="21"/>
  <c r="BI84" i="21"/>
  <c r="BI79" i="21"/>
  <c r="BI83" i="21"/>
  <c r="AO76" i="21"/>
  <c r="AP76" i="21"/>
  <c r="AO77" i="21"/>
  <c r="AP77" i="21"/>
  <c r="AF31" i="1"/>
  <c r="V88" i="1"/>
  <c r="G115" i="1"/>
  <c r="H115" i="1" s="1"/>
  <c r="BJ66" i="1"/>
  <c r="BX76" i="1" s="1"/>
  <c r="BV76" i="1" s="1"/>
  <c r="P5" i="22"/>
  <c r="D21" i="11" s="1"/>
  <c r="E21" i="11" s="1" a="1"/>
  <c r="E21" i="11" s="1"/>
  <c r="BT73" i="1"/>
  <c r="BT68" i="1"/>
  <c r="BT70" i="1"/>
  <c r="BT69" i="1"/>
  <c r="BT71" i="1"/>
  <c r="BT84" i="1"/>
  <c r="BT72" i="1"/>
  <c r="BT83" i="1"/>
  <c r="BT77" i="1"/>
  <c r="BT85" i="1"/>
  <c r="BT74" i="1"/>
  <c r="BT78" i="1"/>
  <c r="BT82" i="1"/>
  <c r="BT86" i="1"/>
  <c r="BT75" i="1"/>
  <c r="BT79" i="1"/>
  <c r="BT80" i="1"/>
  <c r="BT81" i="1"/>
  <c r="BT87" i="1"/>
  <c r="BT76" i="1"/>
  <c r="BP69" i="21"/>
  <c r="BP73" i="21"/>
  <c r="BP77" i="21"/>
  <c r="BP81" i="21"/>
  <c r="BP85" i="21"/>
  <c r="BP68" i="21"/>
  <c r="BP72" i="21"/>
  <c r="BP76" i="21"/>
  <c r="BP80" i="21"/>
  <c r="BP84" i="21"/>
  <c r="BP67" i="21"/>
  <c r="BP70" i="21"/>
  <c r="BP71" i="21"/>
  <c r="BP74" i="21"/>
  <c r="BP75" i="21"/>
  <c r="BP78" i="21"/>
  <c r="BP66" i="21"/>
  <c r="BP79" i="21"/>
  <c r="BP82" i="21"/>
  <c r="BP83" i="21"/>
  <c r="G103" i="22"/>
  <c r="AO74" i="22"/>
  <c r="AP74" i="22"/>
  <c r="BT69" i="21"/>
  <c r="BT73" i="21"/>
  <c r="BT77" i="21"/>
  <c r="BT81" i="21"/>
  <c r="BT85" i="21"/>
  <c r="BT68" i="21"/>
  <c r="BT72" i="21"/>
  <c r="BT76" i="21"/>
  <c r="BT80" i="21"/>
  <c r="BT84" i="21"/>
  <c r="BT79" i="21"/>
  <c r="BT82" i="21"/>
  <c r="BT83" i="21"/>
  <c r="BT67" i="21"/>
  <c r="BT70" i="21"/>
  <c r="BT71" i="21"/>
  <c r="BT74" i="21"/>
  <c r="BT75" i="21"/>
  <c r="BT78" i="21"/>
  <c r="BT66" i="21"/>
  <c r="BE67" i="22"/>
  <c r="BE71" i="22"/>
  <c r="BE75" i="22"/>
  <c r="BE79" i="22"/>
  <c r="BE83" i="22"/>
  <c r="BE70" i="22"/>
  <c r="BE72" i="22"/>
  <c r="BE77" i="22"/>
  <c r="BE66" i="22"/>
  <c r="BE68" i="22"/>
  <c r="BE69" i="22"/>
  <c r="BE78" i="22"/>
  <c r="BE80" i="22"/>
  <c r="BE73" i="22"/>
  <c r="BE74" i="22"/>
  <c r="BE81" i="22"/>
  <c r="BE85" i="22"/>
  <c r="BE84" i="22"/>
  <c r="BE76" i="22"/>
  <c r="BE82" i="22"/>
  <c r="BP64" i="22"/>
  <c r="BX80" i="22" s="1"/>
  <c r="BV80" i="22" s="1"/>
  <c r="BN68" i="22"/>
  <c r="BN72" i="22"/>
  <c r="BN76" i="22"/>
  <c r="BN80" i="22"/>
  <c r="BN84" i="22"/>
  <c r="BN66" i="22"/>
  <c r="BN73" i="22"/>
  <c r="BN79" i="22"/>
  <c r="BN82" i="22"/>
  <c r="BN71" i="22"/>
  <c r="BN74" i="22"/>
  <c r="BN81" i="22"/>
  <c r="BN77" i="22"/>
  <c r="BN70" i="22"/>
  <c r="BN75" i="22"/>
  <c r="BN67" i="22"/>
  <c r="BN69" i="22"/>
  <c r="BN85" i="22"/>
  <c r="BN78" i="22"/>
  <c r="BN83" i="22"/>
  <c r="M31" i="1"/>
  <c r="L31" i="1"/>
  <c r="D17" i="11"/>
  <c r="D38" i="11" s="1"/>
  <c r="BG64" i="22"/>
  <c r="BX71" i="22" s="1"/>
  <c r="BV71" i="22" s="1"/>
  <c r="BT64" i="22"/>
  <c r="BX84" i="22" s="1"/>
  <c r="BV84" i="22" s="1"/>
  <c r="G106" i="22"/>
  <c r="H106" i="22" s="1"/>
  <c r="BM64" i="22" l="1"/>
  <c r="BX77" i="22" s="1"/>
  <c r="BV77" i="22" s="1"/>
  <c r="G103" i="21"/>
  <c r="G108" i="21" s="1"/>
  <c r="F108" i="21"/>
  <c r="BO64" i="22"/>
  <c r="BX79" i="22" s="1"/>
  <c r="BV79" i="22" s="1"/>
  <c r="BQ64" i="21"/>
  <c r="BX81" i="21" s="1"/>
  <c r="BV81" i="21" s="1"/>
  <c r="BE64" i="21"/>
  <c r="BX69" i="21" s="1"/>
  <c r="BV69" i="21" s="1"/>
  <c r="F135" i="1"/>
  <c r="I135" i="1" s="1"/>
  <c r="J135" i="1" s="1"/>
  <c r="E108" i="1" s="1"/>
  <c r="J108" i="1" s="1"/>
  <c r="F138" i="1"/>
  <c r="BN64" i="22"/>
  <c r="BX78" i="22" s="1"/>
  <c r="BV78" i="22" s="1"/>
  <c r="BT66" i="1"/>
  <c r="BX86" i="1" s="1"/>
  <c r="BV86" i="1" s="1"/>
  <c r="BP66" i="1"/>
  <c r="BX82" i="1" s="1"/>
  <c r="BV82" i="1" s="1"/>
  <c r="F17" i="11"/>
  <c r="D29" i="11"/>
  <c r="D16" i="11"/>
  <c r="D37" i="11" s="1"/>
  <c r="BE64" i="22"/>
  <c r="BX69" i="22" s="1"/>
  <c r="BV69" i="22" s="1"/>
  <c r="BI64" i="21"/>
  <c r="BX73" i="21" s="1"/>
  <c r="BV73" i="21" s="1"/>
  <c r="BJ64" i="22"/>
  <c r="BX74" i="22" s="1"/>
  <c r="BV74" i="22" s="1"/>
  <c r="BM64" i="21"/>
  <c r="BX77" i="21" s="1"/>
  <c r="BV77" i="21" s="1"/>
  <c r="O33" i="21"/>
  <c r="L31" i="21"/>
  <c r="D12" i="11" s="1"/>
  <c r="E109" i="21"/>
  <c r="E112" i="21" s="1"/>
  <c r="BT64" i="21"/>
  <c r="BX84" i="21" s="1"/>
  <c r="BV84" i="21" s="1"/>
  <c r="M68" i="1"/>
  <c r="L89" i="1"/>
  <c r="P4" i="1" s="1"/>
  <c r="G116" i="1"/>
  <c r="H116" i="1" s="1"/>
  <c r="F11" i="11"/>
  <c r="F19" i="11" s="1"/>
  <c r="F15" i="11"/>
  <c r="C36" i="11"/>
  <c r="BR64" i="22"/>
  <c r="BX82" i="22" s="1"/>
  <c r="BV82" i="22" s="1"/>
  <c r="BU64" i="21"/>
  <c r="BX85" i="21" s="1"/>
  <c r="BV85" i="21" s="1"/>
  <c r="N31" i="1"/>
  <c r="AG31" i="1"/>
  <c r="G105" i="22"/>
  <c r="H103" i="22"/>
  <c r="BP64" i="21"/>
  <c r="BX80" i="21" s="1"/>
  <c r="BV80" i="21" s="1"/>
  <c r="L88" i="1"/>
  <c r="G135" i="1" s="1"/>
  <c r="H135" i="1" s="1"/>
  <c r="AD88" i="1"/>
  <c r="AE88" i="1" s="1"/>
  <c r="BU66" i="1"/>
  <c r="BX87" i="1" s="1"/>
  <c r="BV87" i="1" s="1"/>
  <c r="L61" i="1"/>
  <c r="BQ66" i="1"/>
  <c r="BX83" i="1" s="1"/>
  <c r="BV83" i="1" s="1"/>
  <c r="E25" i="11" a="1"/>
  <c r="E25" i="11" s="1"/>
  <c r="F25" i="11"/>
  <c r="BF64" i="22"/>
  <c r="BX70" i="22" s="1"/>
  <c r="BV70" i="22" s="1"/>
  <c r="F112" i="21"/>
  <c r="P5" i="21"/>
  <c r="D20" i="11" s="1"/>
  <c r="E20" i="11" l="1" a="1"/>
  <c r="E20" i="11" s="1"/>
  <c r="D24" i="11"/>
  <c r="F12" i="11"/>
  <c r="F20" i="11" s="1"/>
  <c r="F16" i="11"/>
  <c r="C37" i="11"/>
  <c r="D28" i="11"/>
  <c r="H103" i="21"/>
  <c r="F115" i="21"/>
  <c r="G139" i="1"/>
  <c r="H139" i="1" s="1"/>
  <c r="G138" i="1"/>
  <c r="P3" i="1"/>
  <c r="D15" i="11" s="1"/>
  <c r="N32" i="1"/>
  <c r="P2" i="1" s="1"/>
  <c r="H105" i="22"/>
  <c r="I103" i="22"/>
  <c r="G109" i="21"/>
  <c r="G112" i="21" s="1"/>
  <c r="H109" i="21" s="1"/>
  <c r="I112" i="21" s="1"/>
  <c r="M88" i="1"/>
  <c r="M89" i="1" s="1"/>
  <c r="J2" i="1" s="1" a="1"/>
  <c r="J2" i="1" s="1"/>
  <c r="P5" i="1"/>
  <c r="D19" i="11" s="1"/>
  <c r="F116" i="21" l="1"/>
  <c r="F117" i="21" s="1"/>
  <c r="E24" i="11" a="1"/>
  <c r="E24" i="11" s="1"/>
  <c r="F24" i="11"/>
  <c r="J105" i="22"/>
  <c r="D36" i="11"/>
  <c r="D27" i="11"/>
  <c r="D5" i="11" s="1"/>
  <c r="G116" i="21"/>
  <c r="I108" i="21"/>
  <c r="E97" i="21" a="1"/>
  <c r="E97" i="21" s="1"/>
  <c r="F114" i="21"/>
  <c r="E114" i="21"/>
  <c r="E19" i="11" a="1"/>
  <c r="E19" i="11" s="1"/>
  <c r="D23" i="11"/>
  <c r="G108" i="22"/>
  <c r="G109" i="22"/>
  <c r="G107" i="22"/>
  <c r="I106" i="22" s="1"/>
  <c r="J106" i="22" s="1"/>
  <c r="H138" i="1"/>
  <c r="I138" i="1" s="1"/>
  <c r="J138" i="1" s="1"/>
  <c r="G115" i="21"/>
  <c r="E97" i="22" l="1" a="1"/>
  <c r="E97" i="22" s="1"/>
  <c r="F140" i="1"/>
  <c r="I140" i="1" s="1"/>
  <c r="J140" i="1" s="1"/>
  <c r="I142" i="1"/>
  <c r="I139" i="1" s="1"/>
  <c r="J139" i="1" s="1"/>
  <c r="E109" i="1" s="1"/>
  <c r="J109" i="1" s="1"/>
  <c r="F23" i="11"/>
  <c r="E23" i="11" a="1"/>
  <c r="E23" i="11" s="1"/>
  <c r="J97" i="21"/>
  <c r="J2" i="21" a="1"/>
  <c r="J2" i="21" s="1"/>
  <c r="J97" i="22" l="1"/>
  <c r="D7" i="11" s="1"/>
  <c r="D9" i="11" s="1"/>
  <c r="J2" i="22" a="1"/>
  <c r="J2"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<sst xmlns="http://schemas.openxmlformats.org/spreadsheetml/2006/main" count="3171" uniqueCount="1062">
  <si>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</si>
  <si>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</si>
  <si>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</si>
  <si>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</si>
  <si>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</si>
  <si>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</si>
  <si>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</si>
  <si>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</si>
  <si>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</si>
  <si>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</si>
  <si>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</si>
  <si>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</si>
  <si>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</si>
  <si>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</si>
  <si>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</si>
  <si>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</si>
  <si>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</si>
  <si>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</si>
  <si>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</si>
  <si>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</si>
  <si>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</si>
  <si>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</si>
  <si>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</si>
  <si>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</si>
  <si>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</si>
  <si>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</si>
  <si>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</si>
  <si>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</si>
  <si>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</si>
  <si>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</si>
  <si>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</si>
  <si>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</si>
  <si>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</si>
  <si>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</si>
  <si>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</si>
  <si>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</si>
  <si>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</si>
  <si>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</si>
  <si>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</si>
  <si>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</si>
  <si>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</si>
  <si>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</si>
  <si>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</si>
  <si>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</si>
  <si>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</si>
  <si>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</si>
  <si>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</si>
  <si>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</si>
  <si>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</si>
  <si>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</si>
  <si>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</si>
  <si>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</si>
  <si>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</si>
  <si>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</si>
  <si>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</si>
  <si>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</si>
  <si>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</si>
  <si>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</si>
  <si>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</si>
  <si>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</si>
  <si>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</si>
  <si>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</si>
  <si>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</si>
  <si>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</si>
  <si>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</si>
  <si>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09/05/2025</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</si>
  <si>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</si>
  <si>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</si>
  <si>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</si>
  <si>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</si>
  <si>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</si>
  <si>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</si>
  <si>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</si>
  <si>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</si>
  <si>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</si>
  <si>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</si>
  <si>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</si>
  <si>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</si>
  <si>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</si>
  <si>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</si>
  <si>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</si>
  <si>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</si>
  <si>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</si>
  <si>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</si>
  <si>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</si>
  <si>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</si>
  <si>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</si>
  <si>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</si>
  <si>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</si>
  <si>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</si>
  <si>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</si>
  <si>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</si>
  <si>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</si>
  <si>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</si>
  <si>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</si>
  <si>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</si>
  <si>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</si>
  <si>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</si>
  <si>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</si>
  <si>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</si>
  <si>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</si>
  <si>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</si>
  <si>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</si>
  <si>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</si>
  <si>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</si>
  <si>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</si>
  <si>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</si>
  <si>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</si>
  <si>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</si>
  <si>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</si>
  <si>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</si>
  <si>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</si>
  <si>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</si>
  <si>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</si>
  <si>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</si>
  <si>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</si>
  <si>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</si>
  <si>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</si>
  <si>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</si>
  <si>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</si>
  <si>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</si>
  <si>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</si>
  <si>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</si>
  <si>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</si>
  <si>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</si>
  <si>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</si>
  <si>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</si>
  <si>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</si>
  <si>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</si>
  <si>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</si>
  <si>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</si>
  <si>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</si>
  <si>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</si>
  <si>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</si>
  <si>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</si>
  <si>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</si>
  <si>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</si>
  <si>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</si>
  <si>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</si>
  <si>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</si>
  <si>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</si>
  <si>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</si>
  <si>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</si>
  <si>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</si>
  <si>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</si>
  <si>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</si>
  <si>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</si>
  <si>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</si>
  <si>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</si>
  <si>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</si>
  <si>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</si>
  <si>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</si>
  <si>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</si>
  <si>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</si>
  <si>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</si>
  <si>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</si>
  <si>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</si>
  <si>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</si>
  <si>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</si>
  <si>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</si>
  <si>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</si>
  <si>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</si>
  <si>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</si>
  <si>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</si>
  <si>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</si>
  <si>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</si>
  <si>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</si>
  <si>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</si>
  <si>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</si>
  <si>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</si>
  <si>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</si>
  <si>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</si>
  <si>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</si>
  <si>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</si>
  <si>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</si>
  <si>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</si>
  <si>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</si>
  <si>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</si>
  <si>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</si>
  <si>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</si>
  <si>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</si>
  <si>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</si>
  <si>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</si>
  <si>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</si>
  <si>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</si>
  <si>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</si>
  <si>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</si>
  <si>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</si>
  <si>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Area/compensation not in local strategy/ no local strategy</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</si>
  <si>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</si>
  <si>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</si>
  <si>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</si>
  <si>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</si>
  <si>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</si>
  <si>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</si>
  <si>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</si>
  <si>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</si>
  <si>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</si>
  <si>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</si>
  <si>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</si>
  <si>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</si>
  <si>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</si>
  <si>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</si>
  <si>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</si>
  <si>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</si>
  <si>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</si>
  <si>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</si>
  <si>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</si>
  <si>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</si>
  <si>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</si>
  <si>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</si>
  <si>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</si>
  <si>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</si>
  <si>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</si>
  <si>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</si>
  <si>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</si>
  <si>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</si>
  <si>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</si>
  <si>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</si>
  <si>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</si>
  <si>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</si>
  <si>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</si>
  <si>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</si>
  <si>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</si>
  <si>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</si>
  <si>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</si>
  <si>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</si>
  <si>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</si>
  <si>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</si>
  <si>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</si>
  <si>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</si>
  <si>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</si>
  <si>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</si>
  <si>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</si>
  <si>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</si>
  <si>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</si>
  <si>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</si>
  <si>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</si>
  <si>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</si>
  <si>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</si>
  <si>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</si>
  <si>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</si>
  <si>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</si>
  <si>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</si>
  <si>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</si>
  <si>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</si>
  <si>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</si>
  <si>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</si>
  <si>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</si>
  <si>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</si>
  <si>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</si>
  <si>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</si>
  <si>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</si>
  <si>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</si>
  <si>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</si>
  <si>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</si>
  <si>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</si>
  <si>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</si>
  <si>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</si>
  <si>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</si>
  <si>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</si>
  <si>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</si>
  <si>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</si>
  <si>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</si>
  <si>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</si>
  <si>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</si>
  <si>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</si>
  <si>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</si>
  <si>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</si>
  <si>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</si>
  <si>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</si>
  <si>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</si>
  <si>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</si>
  <si>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</si>
  <si>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</si>
  <si>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</si>
  <si>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</si>
  <si>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</si>
  <si>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</si>
  <si>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</si>
  <si>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</si>
  <si>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</si>
  <si>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</si>
  <si>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</si>
  <si>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</si>
  <si>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</si>
  <si>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</si>
  <si>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</si>
  <si>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</si>
  <si>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</si>
  <si>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</si>
  <si>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</si>
  <si>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</si>
  <si>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</si>
  <si>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</si>
  <si>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</si>
  <si>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</si>
  <si>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</si>
  <si>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</si>
  <si>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</si>
  <si>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</si>
  <si>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</si>
  <si>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</si>
  <si>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</si>
  <si>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</si>
  <si>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</si>
  <si>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</si>
  <si>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</si>
  <si>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</si>
  <si>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</si>
  <si>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</si>
  <si>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</si>
  <si>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</si>
  <si>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</si>
  <si>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</si>
  <si>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</si>
  <si>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</si>
  <si>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</si>
  <si>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</si>
  <si>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</si>
  <si>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</si>
  <si>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</si>
  <si>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</si>
  <si>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</si>
  <si>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</si>
  <si>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</si>
  <si>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</si>
  <si>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</si>
  <si>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</si>
  <si>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</si>
  <si>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</si>
  <si>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</si>
  <si>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</si>
  <si>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</si>
  <si>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</si>
  <si>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</si>
  <si>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</si>
  <si>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</si>
  <si>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</si>
  <si>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</si>
  <si>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</si>
  <si>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</si>
  <si>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</si>
  <si>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</si>
  <si>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</si>
  <si>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</si>
  <si>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</si>
  <si>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</si>
  <si>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</si>
  <si>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</si>
  <si>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</si>
  <si>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</si>
  <si>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</si>
  <si>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</si>
  <si>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</si>
  <si>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</si>
  <si>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</si>
  <si>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</si>
  <si>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</si>
  <si>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</si>
  <si>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</si>
  <si>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</si>
  <si>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</si>
  <si>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</si>
  <si>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</si>
  <si>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</si>
  <si>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</si>
  <si>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</si>
  <si>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</si>
  <si>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</si>
  <si>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</si>
  <si>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</si>
  <si>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</si>
  <si>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</si>
  <si>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</si>
  <si>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</si>
  <si>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</si>
  <si>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</si>
  <si>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</si>
  <si>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</si>
  <si>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</si>
  <si>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</si>
  <si>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</si>
  <si>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</si>
  <si>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</si>
  <si>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</si>
  <si>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</si>
  <si>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</si>
  <si>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</si>
  <si>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</si>
  <si>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</si>
  <si>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</si>
  <si>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</si>
  <si>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</si>
  <si>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</si>
  <si>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</si>
  <si>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</si>
  <si>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</si>
  <si>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</si>
  <si>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</si>
  <si>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</si>
  <si>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</si>
  <si>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</si>
  <si>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</si>
  <si>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</si>
  <si>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</si>
  <si>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</si>
  <si>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</si>
  <si>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</si>
  <si>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</si>
  <si>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</si>
  <si>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</si>
  <si>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</si>
  <si>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</si>
  <si>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</si>
  <si>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</si>
  <si>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</si>
  <si>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</si>
  <si>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</si>
  <si>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</si>
  <si>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</si>
  <si>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</si>
  <si>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</si>
  <si>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</si>
  <si>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</si>
  <si>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</si>
  <si>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</si>
  <si>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</si>
  <si>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</si>
  <si>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</si>
  <si>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</si>
  <si>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</si>
  <si>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</si>
  <si>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</si>
  <si>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</si>
  <si>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</si>
  <si>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</si>
  <si>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</si>
  <si>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</si>
  <si>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</si>
  <si>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</si>
  <si>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</si>
  <si>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</si>
  <si>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</si>
  <si>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</si>
  <si>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</si>
  <si>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</si>
  <si>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</si>
  <si>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</si>
  <si>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</si>
  <si>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</si>
  <si>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</si>
  <si>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</si>
  <si>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</si>
  <si>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</si>
  <si>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</si>
  <si>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</si>
  <si>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</si>
  <si>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</si>
  <si>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</si>
  <si>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</si>
  <si>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</si>
  <si>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</si>
  <si>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</si>
  <si>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</si>
  <si>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</si>
  <si>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</si>
  <si>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</si>
  <si>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</si>
  <si>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</si>
  <si>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</si>
  <si>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</si>
  <si>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</si>
  <si>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</si>
  <si>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</si>
  <si>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</si>
  <si>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</si>
  <si>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</si>
  <si>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</si>
  <si>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</si>
  <si>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</si>
  <si>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</si>
  <si>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</si>
  <si>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</si>
  <si>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</si>
  <si>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</si>
  <si>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</si>
  <si>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</si>
  <si>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</si>
  <si>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</si>
  <si>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</si>
  <si>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</si>
  <si>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</si>
  <si>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</si>
  <si>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</si>
  <si>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</si>
  <si>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</si>
  <si>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</si>
  <si>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</si>
  <si>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</si>
  <si>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</si>
  <si>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</si>
  <si>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</si>
  <si>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</si>
  <si>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</si>
  <si>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</si>
  <si>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</si>
  <si>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</si>
  <si>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</si>
  <si>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</si>
  <si>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</si>
  <si>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</si>
  <si>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</si>
  <si>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</si>
  <si>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</si>
  <si>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</si>
  <si>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</si>
  <si>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</si>
  <si>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</si>
  <si>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</si>
  <si>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</si>
  <si>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</si>
  <si>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</si>
  <si>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</si>
  <si>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</si>
  <si>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</si>
  <si>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</si>
  <si>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</si>
  <si>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</si>
  <si>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</si>
  <si>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</si>
  <si>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</si>
  <si>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</si>
  <si>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</si>
  <si>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</si>
  <si>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</si>
  <si>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</si>
  <si>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</si>
  <si>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</si>
  <si>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</si>
  <si>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</si>
  <si>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</si>
  <si>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</si>
  <si>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</si>
  <si>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</si>
  <si>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</si>
  <si>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</si>
  <si>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</si>
  <si>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</si>
  <si>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</si>
  <si>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</si>
  <si>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</si>
  <si>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</si>
  <si>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</si>
  <si>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</si>
  <si>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</si>
  <si>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</si>
  <si>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</si>
  <si>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</si>
  <si>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</si>
  <si>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</si>
  <si>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</si>
  <si>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</si>
  <si>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</si>
  <si>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</si>
  <si>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</si>
  <si>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</si>
  <si>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</si>
  <si>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</si>
  <si>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</si>
  <si>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</si>
  <si>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</si>
  <si>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</si>
  <si>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</si>
  <si>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</si>
  <si>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</si>
  <si>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</si>
  <si>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</si>
  <si>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</si>
  <si>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</si>
  <si>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</si>
  <si>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</si>
  <si>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</si>
  <si>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</si>
  <si>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</si>
  <si>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</si>
  <si>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</si>
  <si>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</si>
  <si>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</si>
  <si>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</si>
  <si>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</si>
  <si>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</si>
  <si>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</si>
  <si>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</si>
  <si>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</si>
  <si>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</si>
  <si>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</si>
  <si>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</si>
  <si>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</si>
  <si>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</si>
  <si>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</si>
  <si>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</si>
  <si>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</si>
  <si>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</si>
  <si>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</si>
  <si>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</si>
  <si>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</si>
  <si>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</si>
  <si>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</si>
  <si>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</si>
  <si>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</si>
  <si>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</si>
  <si>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</si>
  <si>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</si>
  <si>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</si>
  <si>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</si>
  <si>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</si>
  <si>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</si>
  <si>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</si>
  <si>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</si>
  <si>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</si>
  <si>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</si>
  <si>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</si>
  <si>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</si>
  <si>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</si>
  <si>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</si>
  <si>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</si>
  <si>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</si>
  <si>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</si>
  <si>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</si>
  <si>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</si>
  <si>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</si>
  <si>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</si>
  <si>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</si>
  <si>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</si>
  <si>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</si>
  <si>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</si>
  <si>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</si>
  <si>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</si>
  <si>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</si>
  <si>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</si>
  <si>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</si>
  <si>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</si>
  <si>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</si>
  <si>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</si>
  <si>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</si>
  <si>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</si>
  <si>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</si>
  <si>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</si>
  <si>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</si>
  <si>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</si>
  <si>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</si>
  <si>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</si>
  <si>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</si>
  <si>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</si>
  <si>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</si>
  <si>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</si>
  <si>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</si>
  <si>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</si>
  <si>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</si>
  <si>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</si>
  <si>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</si>
  <si>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</si>
  <si>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</si>
  <si>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</si>
  <si>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</si>
  <si>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</si>
  <si>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</si>
  <si>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</si>
  <si>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</si>
  <si>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</si>
  <si>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</si>
  <si>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</si>
  <si>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</si>
  <si>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</si>
  <si>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</si>
  <si>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</si>
  <si>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</si>
  <si>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</si>
  <si>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</si>
  <si>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</si>
  <si>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</si>
  <si>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</si>
  <si>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</si>
  <si>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</si>
  <si>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</si>
  <si>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</si>
  <si>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</si>
  <si>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</si>
  <si>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</si>
  <si>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</si>
  <si>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</si>
  <si>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</si>
  <si>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</si>
  <si>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</si>
  <si>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</si>
  <si>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</si>
  <si>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</si>
  <si>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</si>
  <si>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</si>
  <si>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</si>
  <si>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</si>
  <si>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</si>
  <si>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</si>
  <si>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</si>
  <si>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</si>
  <si>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</si>
  <si>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</si>
  <si>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</si>
  <si>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</si>
  <si>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</si>
  <si>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</si>
  <si>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</si>
  <si>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</si>
  <si>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</si>
  <si>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</si>
  <si>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</si>
  <si>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</si>
  <si>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</si>
  <si>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</si>
  <si>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</si>
  <si>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</si>
  <si>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</si>
  <si>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</si>
  <si>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</si>
  <si>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</si>
  <si>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</si>
  <si>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</si>
  <si>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</si>
  <si>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</si>
  <si>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</si>
  <si>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</si>
  <si>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</si>
  <si>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</si>
  <si>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</si>
  <si>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</si>
  <si>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</si>
  <si>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</si>
  <si>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</si>
  <si>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</si>
  <si>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</si>
  <si>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</si>
  <si>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</si>
  <si>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</si>
  <si>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</si>
  <si>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</si>
  <si>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</si>
  <si>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</si>
  <si>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</si>
  <si>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</si>
  <si>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</si>
  <si>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</si>
  <si>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</si>
  <si>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</si>
  <si>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</si>
  <si>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</si>
  <si>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</si>
  <si>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</si>
  <si>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</si>
  <si>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</si>
  <si>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</si>
  <si>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</si>
  <si>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</si>
  <si>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</si>
  <si>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</si>
  <si>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</si>
  <si>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</si>
  <si>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</si>
  <si>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</si>
  <si>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</si>
  <si>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</si>
  <si>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</si>
  <si>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</si>
  <si>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</si>
  <si>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</si>
  <si>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</si>
  <si>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</si>
  <si>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</si>
  <si>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</si>
  <si>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</si>
  <si>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</si>
  <si>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</si>
  <si>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</si>
  <si>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</si>
  <si>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</si>
  <si>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</si>
  <si>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</si>
  <si>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</si>
  <si>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</si>
  <si>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</si>
  <si>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</si>
  <si>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</si>
  <si>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</si>
  <si>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</si>
  <si>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</si>
  <si>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</si>
  <si>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</si>
  <si>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</si>
  <si>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</si>
  <si>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</si>
  <si>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</si>
  <si>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</si>
  <si>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</si>
  <si>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</si>
  <si>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</si>
  <si>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</si>
  <si>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</si>
  <si>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</si>
  <si>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</si>
  <si>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</si>
  <si>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</si>
  <si>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</si>
  <si>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</si>
  <si>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</si>
  <si>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</si>
  <si>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</si>
  <si>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</si>
  <si>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</si>
  <si>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</si>
  <si>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</si>
  <si>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</si>
  <si>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</si>
  <si>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</si>
  <si>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</si>
  <si>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</si>
  <si>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</si>
  <si>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</si>
  <si>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</si>
  <si>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</si>
  <si>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</si>
  <si>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</si>
  <si>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</si>
  <si>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</si>
  <si>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</si>
  <si>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</si>
  <si>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</si>
  <si>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</si>
  <si>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</si>
  <si>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</si>
  <si>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</si>
  <si>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</si>
  <si>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</si>
  <si>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</si>
  <si>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</si>
  <si>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</si>
  <si>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</si>
  <si>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</si>
  <si>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</si>
  <si>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</si>
  <si>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</si>
  <si>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</si>
  <si>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</si>
  <si>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</si>
  <si>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</si>
  <si>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</si>
  <si>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</si>
  <si>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</si>
  <si>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</si>
  <si>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</si>
  <si>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</si>
  <si>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</si>
  <si>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</si>
  <si>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</si>
  <si>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</si>
  <si>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</si>
  <si>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</si>
  <si>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</si>
  <si>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</si>
  <si>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</si>
  <si>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</si>
  <si>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</si>
  <si>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</si>
  <si>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</si>
  <si>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</si>
  <si>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</si>
  <si>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</si>
  <si>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</si>
  <si>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</si>
  <si>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</si>
  <si>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</si>
  <si>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</si>
  <si>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</si>
  <si>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</si>
  <si>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</si>
  <si>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</si>
  <si>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</si>
  <si>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</si>
  <si>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</si>
  <si>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</si>
  <si>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</si>
  <si>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</si>
  <si>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</si>
  <si>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</si>
  <si>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</si>
  <si>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</si>
  <si>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</si>
  <si>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</si>
  <si>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</si>
  <si>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</si>
  <si>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</si>
  <si>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</si>
  <si>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</si>
  <si>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</si>
  <si>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</si>
  <si>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</si>
  <si>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</si>
  <si>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</si>
  <si>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</si>
  <si>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</si>
  <si>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</si>
  <si>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</si>
  <si>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</si>
  <si>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</si>
  <si>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</si>
  <si>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</si>
  <si>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</si>
  <si>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</si>
  <si>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</si>
  <si>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</si>
  <si>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</si>
  <si>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</si>
  <si>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</si>
  <si>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</si>
  <si>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</si>
  <si>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</si>
  <si>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</si>
  <si>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</si>
  <si>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</si>
  <si>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</si>
  <si>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</si>
  <si>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</si>
  <si>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</si>
  <si>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</si>
  <si>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</si>
  <si>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</si>
  <si>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</si>
  <si>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</si>
  <si>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</si>
  <si>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</si>
  <si>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</si>
  <si>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</si>
  <si>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</si>
  <si>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</si>
  <si>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</si>
  <si>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</si>
  <si>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</si>
  <si>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</si>
  <si>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</si>
  <si>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</si>
  <si>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</si>
  <si>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</si>
  <si>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</si>
  <si>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</si>
  <si>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</si>
  <si>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</si>
  <si>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</si>
  <si>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</si>
  <si>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</si>
  <si>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</si>
  <si>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</si>
  <si>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</si>
  <si>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</si>
  <si>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</si>
  <si>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</si>
  <si>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</si>
  <si>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</si>
  <si>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</si>
  <si>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</si>
  <si>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</si>
  <si>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</si>
  <si>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</si>
  <si>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</si>
  <si>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</si>
  <si>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</si>
  <si>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</si>
  <si>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</si>
  <si>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</si>
  <si>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</si>
  <si>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</si>
  <si>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</si>
  <si>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</si>
  <si>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</si>
  <si>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</si>
  <si>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</si>
  <si>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</si>
  <si>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</si>
  <si>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</si>
  <si>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</si>
  <si>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</si>
  <si>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</si>
  <si>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</si>
  <si>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</si>
  <si>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</si>
  <si>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</si>
  <si>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</si>
  <si>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</si>
  <si>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</si>
  <si>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</si>
  <si>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</si>
  <si>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</si>
  <si>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</si>
  <si>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</si>
  <si>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</si>
  <si>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</si>
  <si>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</si>
  <si>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</si>
  <si>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</si>
  <si>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</si>
  <si>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</si>
  <si>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</si>
  <si>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</si>
  <si>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</si>
  <si>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</si>
  <si>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</si>
  <si>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</si>
  <si>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</si>
  <si>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</si>
  <si>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</si>
  <si>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</si>
  <si>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</si>
  <si>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</si>
  <si>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</si>
  <si>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</si>
  <si>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</si>
  <si>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</si>
  <si>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</si>
  <si>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</si>
  <si>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</si>
  <si>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</si>
  <si>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</si>
  <si>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</si>
  <si>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</si>
  <si>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</si>
  <si>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</si>
  <si>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</si>
  <si>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</si>
  <si>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</si>
  <si>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</si>
  <si>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</si>
  <si>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</si>
  <si>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</si>
  <si>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</si>
  <si>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</si>
  <si>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</si>
  <si>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</si>
  <si>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</si>
  <si>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</si>
  <si>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</si>
  <si>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</si>
  <si>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South Holland</t>
  </si>
  <si>
    <t>Kennally SSJ</t>
  </si>
  <si>
    <t>Mr L Kennally</t>
  </si>
  <si>
    <t>Sarah Darlow (Director)</t>
  </si>
  <si>
    <t>4376-25-01B</t>
  </si>
  <si>
    <t>Residential</t>
  </si>
  <si>
    <t>Between 1 - 9 dwellings</t>
  </si>
  <si>
    <t>No</t>
  </si>
  <si>
    <t>Within 500m of site boundary</t>
  </si>
  <si>
    <t xml:space="preserve">Priority Habitat Inventory - Traditional Orchards (England) (NE UID: 8ff08476-74f5-46f6-949c-537726852274) - Within 500m 
Priority Habitat Inventory - Deciduous Woodland (England) (NE UID: 1be6f089-3f03-4a16-b089-88aa6b7da4a3) - Within 500m 
Priority Habitat Inventory - Traditional Orchards (England) (NE UID: 46dcd919-ccde-49b2-8053-8b28690870ec)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</si>
  <si>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</si>
  <si>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</si>
  <si>
    <t>03/04/2025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</si>
</sst>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11" xfId="0"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14" fillId="5" borderId="5"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38"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0" xfId="0" applyFont="1" applyFill="1" applyAlignment="1">
      <alignment horizontal="center"/>
    </xf>
    <xf numFmtId="0" fontId="14" fillId="5" borderId="38" xfId="0" applyFont="1" applyFill="1" applyBorder="1" applyAlignment="1">
      <alignment horizontal="center"/>
    </xf>
    <xf numFmtId="0" fontId="14" fillId="5" borderId="41" xfId="0" applyFont="1" applyFill="1" applyBorder="1" applyAlignment="1">
      <alignment horizontal="center"/>
    </xf>
    <xf numFmtId="0" fontId="14" fillId="5" borderId="27" xfId="0" applyFont="1" applyFill="1" applyBorder="1" applyAlignment="1">
      <alignment horizontal="center"/>
    </xf>
    <xf numFmtId="0" fontId="28" fillId="5" borderId="17" xfId="0" applyFont="1" applyFill="1" applyBorder="1" applyAlignment="1">
      <alignment horizontal="center"/>
    </xf>
    <xf numFmtId="0" fontId="2" fillId="10" borderId="14"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5" fillId="10" borderId="6"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5" xfId="0" applyFont="1" applyFill="1" applyBorder="1" applyAlignment="1">
      <alignment horizontal="center" vertical="center"/>
    </xf>
    <xf numFmtId="0" fontId="3" fillId="8" borderId="79"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12" fillId="27" borderId="36"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0" xfId="0" applyFont="1" applyFill="1" applyBorder="1" applyAlignment="1">
      <alignment horizontal="center" vertical="center"/>
    </xf>
    <xf numFmtId="0" fontId="5" fillId="9" borderId="24" xfId="0" applyFont="1" applyFill="1" applyBorder="1" applyAlignment="1">
      <alignment horizontal="center"/>
    </xf>
    <xf numFmtId="0" fontId="5" fillId="23" borderId="24" xfId="0" applyFont="1" applyFill="1" applyBorder="1" applyAlignment="1">
      <alignment horizontal="center" vertical="center"/>
    </xf>
    <xf numFmtId="0" fontId="5" fillId="8" borderId="24" xfId="0" applyFont="1" applyFill="1" applyBorder="1" applyAlignment="1">
      <alignment horizontal="center"/>
    </xf>
    <xf numFmtId="0" fontId="3" fillId="8" borderId="18"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12" fillId="27" borderId="3"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1" xfId="0" applyFont="1" applyFill="1" applyBorder="1" applyAlignment="1">
      <alignment horizontal="center" vertical="center"/>
    </xf>
    <xf numFmtId="0" fontId="0" fillId="12" borderId="0" xfId="0" applyFill="1" applyAlignment="1">
      <alignment horizontal="center" wrapText="1"/>
    </xf>
    <xf numFmtId="0" fontId="38" fillId="12" borderId="0" xfId="0" applyFont="1" applyFill="1" applyAlignment="1">
      <alignment horizontal="center" wrapText="1"/>
    </xf>
    <xf numFmtId="165" fontId="5" fillId="3" borderId="14"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0" fontId="20" fillId="5" borderId="13" xfId="0" applyFont="1" applyFill="1" applyBorder="1" applyAlignment="1">
      <alignment horizontal="center" vertical="center"/>
    </xf>
    <xf numFmtId="0" fontId="20" fillId="5" borderId="11" xfId="0"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0" fontId="20" fillId="5" borderId="18" xfId="0" applyFont="1" applyFill="1" applyBorder="1" applyAlignment="1">
      <alignment horizontal="center" vertical="center"/>
    </xf>
    <xf numFmtId="0" fontId="20" fillId="5" borderId="28" xfId="0"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39" xfId="0" applyNumberFormat="1"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6" borderId="40"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1" xfId="0" applyFont="1" applyBorder="1" applyAlignment="1">
      <alignment horizontal="center" vertical="center"/>
    </xf>
    <xf numFmtId="0" fontId="20" fillId="5" borderId="2" xfId="0" applyFont="1" applyFill="1" applyBorder="1" applyAlignment="1">
      <alignment horizontal="center" vertical="center"/>
    </xf>
    <xf numFmtId="0" fontId="1" fillId="12" borderId="0" xfId="0" applyFont="1" applyFill="1" applyAlignment="1">
      <alignment horizontal="center"/>
    </xf>
    <xf numFmtId="0" fontId="20" fillId="22" borderId="39" xfId="0" applyFont="1" applyFill="1" applyBorder="1" applyAlignment="1">
      <alignment horizontal="center"/>
    </xf>
    <xf numFmtId="0" fontId="20" fillId="22" borderId="50"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48" xfId="0" applyFont="1" applyFill="1" applyBorder="1" applyAlignment="1">
      <alignment horizontal="center" vertical="center"/>
    </xf>
    <xf numFmtId="0" fontId="4" fillId="7" borderId="61"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39" xfId="0" applyFont="1" applyFill="1" applyBorder="1" applyAlignment="1">
      <alignment horizontal="center" vertical="center"/>
    </xf>
    <xf numFmtId="0" fontId="12" fillId="5" borderId="80"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5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51" fillId="5" borderId="1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2" fontId="0" fillId="0" borderId="35" xfId="0" applyNumberFormat="1" applyBorder="1" applyAlignment="1" applyProtection="1">
      <alignment horizontal="center" vertical="center" wrapText="1"/>
      <protection locked="0"/>
    </xf>
    <xf numFmtId="2" fontId="0" fillId="0" borderId="34"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protection locked="0"/>
    </xf>
    <xf numFmtId="0" fontId="4" fillId="16" borderId="47" xfId="0" applyFont="1" applyFill="1" applyBorder="1" applyAlignment="1" applyProtection="1">
      <alignment horizontal="center" vertical="center"/>
      <protection locked="0"/>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2" fontId="0" fillId="0" borderId="63" xfId="0" applyNumberFormat="1"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12" fillId="27" borderId="10" xfId="0" applyFont="1" applyFill="1" applyBorder="1" applyAlignment="1">
      <alignment horizontal="center" vertical="center"/>
    </xf>
    <xf numFmtId="0" fontId="12" fillId="27" borderId="4" xfId="0" applyFont="1" applyFill="1" applyBorder="1" applyAlignment="1">
      <alignment horizontal="center" vertical="center"/>
    </xf>
    <xf numFmtId="0" fontId="14" fillId="5" borderId="52"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2" fillId="12" borderId="61" xfId="0" applyFont="1" applyFill="1" applyBorder="1" applyAlignment="1">
      <alignment horizontal="center"/>
    </xf>
    <xf numFmtId="0" fontId="0" fillId="0" borderId="1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4" fillId="27" borderId="18"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3" xfId="0" applyFont="1" applyFill="1" applyBorder="1" applyAlignment="1">
      <alignment horizontal="center" vertical="center" wrapText="1"/>
    </xf>
    <xf numFmtId="0" fontId="20" fillId="22" borderId="11"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25" xfId="0" applyFont="1" applyFill="1" applyBorder="1" applyAlignment="1">
      <alignment horizontal="center" vertical="center"/>
    </xf>
    <xf numFmtId="0" fontId="33" fillId="12" borderId="77"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52" xfId="0" applyFont="1" applyFill="1" applyBorder="1" applyAlignment="1">
      <alignment horizontal="center" vertical="center"/>
    </xf>
    <xf numFmtId="0" fontId="20" fillId="22" borderId="76"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8" xfId="0" applyFont="1" applyFill="1" applyBorder="1" applyAlignment="1">
      <alignment horizontal="center" vertical="center"/>
    </xf>
    <xf numFmtId="0" fontId="20" fillId="22" borderId="10"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20" fillId="5" borderId="40"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65" fontId="0" fillId="24" borderId="37" xfId="0" applyNumberFormat="1" applyFill="1" applyBorder="1" applyAlignment="1">
      <alignment horizontal="center" vertical="center" wrapText="1"/>
    </xf>
    <xf numFmtId="0" fontId="4" fillId="7" borderId="77" xfId="0" applyFont="1" applyFill="1" applyBorder="1" applyAlignment="1">
      <alignment horizontal="center" vertical="center"/>
    </xf>
    <xf numFmtId="0" fontId="4" fillId="7" borderId="76"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165" fontId="0" fillId="24" borderId="6" xfId="0" applyNumberFormat="1" applyFill="1" applyBorder="1" applyAlignment="1">
      <alignment horizontal="center" vertical="center" wrapText="1"/>
    </xf>
    <xf numFmtId="165" fontId="0" fillId="24" borderId="62" xfId="0" applyNumberFormat="1" applyFill="1" applyBorder="1" applyAlignment="1">
      <alignment horizontal="center" vertical="center" wrapText="1"/>
    </xf>
    <xf numFmtId="0" fontId="4" fillId="7" borderId="26" xfId="0" applyFont="1" applyFill="1" applyBorder="1" applyAlignment="1">
      <alignment horizontal="center" vertical="center"/>
    </xf>
    <xf numFmtId="0" fontId="4" fillId="7"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12" xfId="0" applyFont="1" applyFill="1" applyBorder="1" applyAlignment="1">
      <alignment horizontal="center" vertical="center" wrapText="1"/>
    </xf>
    <xf numFmtId="0" fontId="1" fillId="12" borderId="0" xfId="0" applyFont="1" applyFill="1" applyAlignment="1">
      <alignment horizontal="center" wrapText="1"/>
    </xf>
    <xf numFmtId="165" fontId="0" fillId="24" borderId="36"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47" xfId="0" applyNumberFormat="1" applyFill="1" applyBorder="1" applyAlignment="1">
      <alignment horizontal="center" vertical="center" wrapText="1"/>
    </xf>
    <xf numFmtId="2" fontId="0" fillId="0" borderId="0" xfId="0" applyNumberFormat="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165" fontId="0" fillId="24" borderId="56"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45" xfId="0" applyNumberFormat="1" applyFill="1" applyBorder="1" applyAlignment="1">
      <alignment horizontal="center" vertical="center" wrapText="1"/>
    </xf>
    <xf numFmtId="0" fontId="4" fillId="16" borderId="56"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165" fontId="0" fillId="24" borderId="26"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4" fillId="16" borderId="6" xfId="0" applyFont="1" applyFill="1" applyBorder="1" applyAlignment="1" applyProtection="1">
      <alignment horizontal="center" vertical="center" wrapText="1"/>
      <protection locked="0"/>
    </xf>
    <xf numFmtId="0" fontId="4" fillId="16" borderId="5" xfId="0" applyFont="1" applyFill="1" applyBorder="1" applyAlignment="1" applyProtection="1">
      <alignment horizontal="center" vertical="center" wrapText="1"/>
      <protection locked="0"/>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2" fillId="12" borderId="55" xfId="0" applyFont="1" applyFill="1" applyBorder="1" applyAlignment="1">
      <alignment horizontal="center"/>
    </xf>
    <xf numFmtId="0" fontId="2" fillId="12" borderId="42" xfId="0" applyFont="1" applyFill="1" applyBorder="1" applyAlignment="1">
      <alignment horizontal="center"/>
    </xf>
    <xf numFmtId="0" fontId="3" fillId="0" borderId="16" xfId="0" applyFont="1" applyBorder="1" applyAlignment="1">
      <alignment horizontal="center"/>
    </xf>
    <xf numFmtId="0" fontId="3" fillId="0" borderId="54" xfId="0" applyFont="1" applyBorder="1" applyAlignment="1">
      <alignment horizontal="center"/>
    </xf>
    <xf numFmtId="0" fontId="0" fillId="0" borderId="36"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62" xfId="0"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0" fontId="15" fillId="22" borderId="12"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47"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4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34"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3"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5" fillId="0" borderId="55" xfId="0" applyFont="1" applyBorder="1" applyAlignment="1">
      <alignment horizontal="center" vertical="center"/>
    </xf>
    <xf numFmtId="0" fontId="5" fillId="0" borderId="42" xfId="0" applyFont="1" applyBorder="1" applyAlignment="1">
      <alignment horizontal="center" vertical="center"/>
    </xf>
    <xf numFmtId="0" fontId="20" fillId="5" borderId="12"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5" fillId="0" borderId="6" xfId="0" applyFont="1" applyBorder="1" applyAlignment="1">
      <alignment horizontal="center" vertical="center"/>
    </xf>
    <xf numFmtId="0" fontId="5" fillId="0" borderId="63" xfId="0" applyFont="1" applyBorder="1" applyAlignment="1">
      <alignment horizontal="center" vertical="center"/>
    </xf>
    <xf numFmtId="0" fontId="20" fillId="5" borderId="67"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10" fillId="3" borderId="0" xfId="0" applyFont="1" applyFill="1" applyAlignment="1">
      <alignment horizontal="center" vertical="center"/>
    </xf>
    <xf numFmtId="0" fontId="2" fillId="12" borderId="31" xfId="0" applyFont="1" applyFill="1" applyBorder="1" applyAlignment="1">
      <alignment horizontal="center" vertical="center"/>
    </xf>
    <xf numFmtId="1" fontId="2" fillId="24" borderId="13"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61" xfId="0" applyNumberFormat="1" applyFont="1" applyFill="1" applyBorder="1" applyAlignment="1">
      <alignment horizontal="center" vertical="center" wrapText="1"/>
    </xf>
    <xf numFmtId="0" fontId="12" fillId="22" borderId="61" xfId="0" applyFont="1" applyFill="1" applyBorder="1" applyAlignment="1">
      <alignment horizontal="center" vertical="center"/>
    </xf>
    <xf numFmtId="1" fontId="0" fillId="2" borderId="5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0" borderId="5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wrapText="1"/>
      <protection locked="0"/>
    </xf>
    <xf numFmtId="0" fontId="12" fillId="22" borderId="56" xfId="0" applyFont="1" applyFill="1" applyBorder="1" applyAlignment="1">
      <alignment horizontal="center" vertical="center"/>
    </xf>
    <xf numFmtId="0" fontId="12" fillId="22" borderId="45" xfId="0" applyFont="1" applyFill="1" applyBorder="1" applyAlignment="1">
      <alignment horizontal="center" vertical="center"/>
    </xf>
    <xf numFmtId="1" fontId="0" fillId="2" borderId="6"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0" borderId="6" xfId="0" applyNumberFormat="1" applyBorder="1" applyAlignment="1" applyProtection="1">
      <alignment horizontal="center" vertical="center"/>
      <protection locked="0"/>
    </xf>
    <xf numFmtId="1" fontId="0" fillId="0" borderId="62" xfId="0" applyNumberFormat="1" applyBorder="1" applyAlignment="1" applyProtection="1">
      <alignment horizontal="center" vertical="center"/>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0" fontId="12" fillId="22" borderId="6" xfId="0" applyFont="1" applyFill="1" applyBorder="1" applyAlignment="1">
      <alignment horizontal="center" vertical="center"/>
    </xf>
    <xf numFmtId="0" fontId="12" fillId="22"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57"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4" xfId="0" applyFont="1" applyFill="1" applyBorder="1" applyAlignment="1">
      <alignment horizontal="center" vertical="center" wrapText="1"/>
    </xf>
    <xf numFmtId="165" fontId="0" fillId="24" borderId="77" xfId="0" applyNumberFormat="1" applyFill="1" applyBorder="1" applyAlignment="1">
      <alignment horizontal="center" vertical="center" wrapText="1"/>
    </xf>
    <xf numFmtId="165" fontId="0" fillId="24" borderId="69" xfId="0" applyNumberFormat="1" applyFill="1" applyBorder="1" applyAlignment="1">
      <alignment horizontal="center" vertical="center" wrapText="1"/>
    </xf>
    <xf numFmtId="0" fontId="4" fillId="7" borderId="14" xfId="0" applyFont="1" applyFill="1" applyBorder="1" applyAlignment="1">
      <alignment horizontal="center" vertical="center"/>
    </xf>
    <xf numFmtId="0" fontId="4" fillId="7" borderId="1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5" fontId="0" fillId="24" borderId="19" xfId="0" applyNumberFormat="1" applyFill="1" applyBorder="1" applyAlignment="1">
      <alignment horizontal="center" vertical="center" wrapText="1"/>
    </xf>
    <xf numFmtId="0" fontId="4" fillId="7" borderId="29" xfId="0" applyFont="1" applyFill="1" applyBorder="1" applyAlignment="1">
      <alignment horizontal="center" vertical="center"/>
    </xf>
    <xf numFmtId="0" fontId="4" fillId="7" borderId="28" xfId="0" applyFont="1" applyFill="1" applyBorder="1" applyAlignment="1">
      <alignment horizontal="center" vertical="center"/>
    </xf>
    <xf numFmtId="0" fontId="14" fillId="5" borderId="57"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165"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1" xfId="0" applyNumberFormat="1" applyFill="1" applyBorder="1" applyAlignment="1">
      <alignment horizontal="center" vertical="center" wrapText="1"/>
    </xf>
    <xf numFmtId="165" fontId="0" fillId="24" borderId="44"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1" xfId="0" applyNumberFormat="1" applyFill="1" applyBorder="1" applyAlignment="1">
      <alignment horizontal="center" vertical="center" wrapText="1"/>
    </xf>
    <xf numFmtId="0" fontId="4" fillId="7" borderId="1" xfId="0" applyFont="1" applyFill="1" applyBorder="1" applyAlignment="1">
      <alignment horizontal="center" vertical="center"/>
    </xf>
    <xf numFmtId="0" fontId="4" fillId="16" borderId="56" xfId="0" applyFont="1" applyFill="1" applyBorder="1" applyAlignment="1" applyProtection="1">
      <alignment horizontal="center" vertical="center"/>
      <protection locked="0"/>
    </xf>
    <xf numFmtId="0" fontId="4" fillId="16" borderId="45" xfId="0" applyFont="1" applyFill="1" applyBorder="1" applyAlignment="1" applyProtection="1">
      <alignment horizontal="center" vertical="center"/>
      <protection locked="0"/>
    </xf>
    <xf numFmtId="165" fontId="0" fillId="24" borderId="68"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23" xfId="0" applyNumberFormat="1" applyFill="1" applyBorder="1" applyAlignment="1">
      <alignment horizontal="center" vertical="center" wrapText="1"/>
    </xf>
    <xf numFmtId="2" fontId="0" fillId="0" borderId="46"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21" xfId="0" applyNumberFormat="1" applyBorder="1" applyAlignment="1" applyProtection="1">
      <alignment horizontal="center" vertical="center" wrapText="1"/>
      <protection locked="0"/>
    </xf>
    <xf numFmtId="0" fontId="4" fillId="16" borderId="6" xfId="0" applyFont="1" applyFill="1" applyBorder="1" applyAlignment="1" applyProtection="1">
      <alignment horizontal="center" vertical="center"/>
      <protection locked="0"/>
    </xf>
    <xf numFmtId="0" fontId="4" fillId="16" borderId="5" xfId="0" applyFont="1" applyFill="1" applyBorder="1" applyAlignment="1" applyProtection="1">
      <alignment horizontal="center" vertical="center"/>
      <protection locked="0"/>
    </xf>
    <xf numFmtId="0" fontId="12" fillId="5" borderId="55"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3" fillId="0" borderId="14" xfId="0" applyFont="1" applyBorder="1" applyAlignment="1">
      <alignment horizontal="center"/>
    </xf>
    <xf numFmtId="0" fontId="3" fillId="0" borderId="13" xfId="0" applyFont="1" applyBorder="1" applyAlignment="1">
      <alignment horizontal="center"/>
    </xf>
    <xf numFmtId="0" fontId="3" fillId="0" borderId="29" xfId="0" applyFont="1" applyBorder="1" applyAlignment="1">
      <alignment horizontal="center"/>
    </xf>
    <xf numFmtId="0" fontId="3" fillId="0" borderId="18"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3"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4" fillId="7" borderId="44" xfId="0" applyFont="1" applyFill="1" applyBorder="1" applyAlignment="1">
      <alignment horizontal="center" vertical="center"/>
    </xf>
    <xf numFmtId="0" fontId="4" fillId="0" borderId="55"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67"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6"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11" xfId="0" applyFont="1" applyFill="1" applyBorder="1" applyAlignment="1">
      <alignment horizontal="center"/>
    </xf>
    <xf numFmtId="0" fontId="26" fillId="17" borderId="0" xfId="0" applyFont="1" applyFill="1" applyAlignment="1">
      <alignment horizontal="center" vertical="center" wrapText="1"/>
    </xf>
    <xf numFmtId="0" fontId="0" fillId="0" borderId="36" xfId="0" applyBorder="1" applyAlignment="1">
      <alignment horizontal="left"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43"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0" fillId="0" borderId="30" xfId="0" applyBorder="1" applyAlignment="1">
      <alignment horizontal="left" vertical="center" wrapText="1"/>
    </xf>
    <xf numFmtId="0" fontId="20" fillId="22" borderId="26" xfId="0" applyFont="1" applyFill="1" applyBorder="1" applyAlignment="1">
      <alignment horizontal="center"/>
    </xf>
    <xf numFmtId="0" fontId="20" fillId="22" borderId="25" xfId="0" applyFont="1" applyFill="1" applyBorder="1" applyAlignment="1">
      <alignment horizontal="center"/>
    </xf>
    <xf numFmtId="0" fontId="10" fillId="3" borderId="0" xfId="0" applyFont="1" applyFill="1" applyAlignment="1">
      <alignment horizontal="center" vertical="center" textRotation="90"/>
    </xf>
    <xf numFmtId="0" fontId="12" fillId="22" borderId="15"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5" xfId="0" applyFont="1" applyFill="1" applyBorder="1" applyAlignment="1">
      <alignment horizontal="center" vertical="center"/>
    </xf>
    <xf numFmtId="0" fontId="33" fillId="0" borderId="0" xfId="0" applyFont="1" applyAlignment="1">
      <alignment horizontal="center" vertical="center" wrapText="1"/>
    </xf>
    <xf numFmtId="0" fontId="20" fillId="5" borderId="13" xfId="0" applyFont="1" applyFill="1" applyBorder="1" applyAlignment="1">
      <alignment horizontal="center"/>
    </xf>
    <xf numFmtId="0" fontId="20" fillId="5" borderId="11" xfId="0" applyFont="1" applyFill="1" applyBorder="1" applyAlignment="1">
      <alignment horizontal="center"/>
    </xf>
    <xf numFmtId="0" fontId="26" fillId="12" borderId="33" xfId="0" applyFont="1" applyFill="1" applyBorder="1" applyAlignment="1">
      <alignment horizontal="center" vertical="center"/>
    </xf>
    <xf numFmtId="0" fontId="20" fillId="5" borderId="39" xfId="0" applyFont="1" applyFill="1" applyBorder="1" applyAlignment="1">
      <alignment horizontal="center"/>
    </xf>
    <xf numFmtId="0" fontId="20" fillId="5" borderId="25" xfId="0" applyFont="1" applyFill="1" applyBorder="1" applyAlignment="1">
      <alignment horizontal="center"/>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 fillId="12" borderId="0" xfId="0" applyFont="1" applyFill="1" applyAlignment="1">
      <alignment horizontal="center" vertical="center" wrapText="1"/>
    </xf>
    <xf numFmtId="0" fontId="2" fillId="12" borderId="33" xfId="0" applyFont="1" applyFill="1" applyBorder="1" applyAlignment="1">
      <alignment horizontal="center" vertical="center" wrapText="1"/>
    </xf>
    <xf numFmtId="0" fontId="20" fillId="22" borderId="14"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39" xfId="0" applyFont="1" applyFill="1" applyBorder="1" applyAlignment="1">
      <alignment horizontal="center" vertical="center"/>
    </xf>
    <xf numFmtId="0" fontId="39" fillId="12" borderId="0" xfId="0" applyFont="1" applyFill="1" applyAlignment="1">
      <alignment horizontal="center" vertical="center"/>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5" fillId="12" borderId="33" xfId="0" applyFont="1" applyFill="1" applyBorder="1" applyAlignment="1">
      <alignment horizontal="center" vertical="center"/>
    </xf>
    <xf numFmtId="0" fontId="15" fillId="5" borderId="10"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0" fillId="5" borderId="55"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1"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13" xfId="0" applyFont="1" applyFill="1" applyBorder="1" applyAlignment="1">
      <alignment horizontal="center" vertical="center"/>
    </xf>
    <xf numFmtId="0" fontId="0" fillId="30" borderId="13" xfId="0" applyFill="1" applyBorder="1" applyAlignment="1">
      <alignment horizontal="center"/>
    </xf>
    <xf numFmtId="0" fontId="0" fillId="30" borderId="11" xfId="0" applyFill="1" applyBorder="1" applyAlignment="1">
      <alignment horizontal="center"/>
    </xf>
    <xf numFmtId="0" fontId="0" fillId="12" borderId="0" xfId="0" applyFill="1" applyAlignment="1">
      <alignment horizontal="center" vertical="top" wrapText="1"/>
    </xf>
    <xf numFmtId="0" fontId="33" fillId="29" borderId="29" xfId="0" applyFont="1" applyFill="1" applyBorder="1" applyAlignment="1">
      <alignment horizontal="center" vertical="center"/>
    </xf>
    <xf numFmtId="0" fontId="33" fillId="29" borderId="18" xfId="0" applyFont="1" applyFill="1" applyBorder="1" applyAlignment="1">
      <alignment horizontal="center" vertical="center"/>
    </xf>
    <xf numFmtId="0" fontId="33" fillId="28" borderId="18" xfId="0" applyFont="1" applyFill="1" applyBorder="1" applyAlignment="1">
      <alignment horizontal="center" vertical="center"/>
    </xf>
    <xf numFmtId="0" fontId="33" fillId="28" borderId="28" xfId="0" applyFont="1" applyFill="1" applyBorder="1" applyAlignment="1">
      <alignment horizontal="center" vertical="center"/>
    </xf>
    <xf numFmtId="0" fontId="25" fillId="26" borderId="38" xfId="0" applyFont="1" applyFill="1" applyBorder="1" applyAlignment="1">
      <alignment horizontal="center" vertical="center"/>
    </xf>
    <xf numFmtId="0" fontId="25" fillId="26" borderId="45" xfId="0" applyFont="1" applyFill="1" applyBorder="1" applyAlignment="1">
      <alignment horizontal="center" vertical="center"/>
    </xf>
    <xf numFmtId="0" fontId="33" fillId="29" borderId="56"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27" xfId="0" applyFont="1" applyFill="1" applyBorder="1" applyAlignment="1">
      <alignment horizontal="center" vertical="center"/>
    </xf>
    <xf numFmtId="0" fontId="11" fillId="29" borderId="46"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65"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59"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65" xfId="0" applyFont="1" applyFill="1" applyBorder="1" applyAlignment="1">
      <alignment horizontal="center" vertical="center"/>
    </xf>
    <xf numFmtId="0" fontId="23" fillId="31" borderId="23"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59" xfId="0" applyFont="1" applyFill="1" applyBorder="1" applyAlignment="1">
      <alignment horizontal="center" vertical="center"/>
    </xf>
    <xf numFmtId="0" fontId="11" fillId="14" borderId="46"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32"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74" xfId="0" applyFont="1" applyFill="1" applyBorder="1" applyAlignment="1">
      <alignment horizontal="center" vertical="center"/>
    </xf>
    <xf numFmtId="0" fontId="16" fillId="0" borderId="23"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6" fillId="12" borderId="0" xfId="0" applyFont="1" applyFill="1" applyAlignment="1">
      <alignment horizontal="center"/>
    </xf>
    <xf numFmtId="0" fontId="0" fillId="12" borderId="0" xfId="0" applyFill="1" applyAlignment="1">
      <alignment horizontal="left" vertical="top" wrapText="1"/>
    </xf>
    <xf numFmtId="0" fontId="0" fillId="12" borderId="0" xfId="0" applyFill="1" applyAlignment="1">
      <alignment horizontal="center" vertical="top"/>
    </xf>
    <xf numFmtId="0" fontId="4" fillId="12" borderId="0" xfId="0" applyFont="1" applyFill="1" applyAlignment="1">
      <alignment horizontal="center"/>
    </xf>
    <xf numFmtId="49" fontId="4" fillId="12" borderId="0" xfId="0" applyNumberFormat="1" applyFont="1" applyFill="1" applyAlignment="1">
      <alignment horizontal="center"/>
    </xf>
    <xf numFmtId="0" fontId="2" fillId="12" borderId="0" xfId="0" applyFont="1" applyFill="1" applyAlignment="1">
      <alignment horizontal="center"/>
    </xf>
    <xf numFmtId="0" fontId="26" fillId="12" borderId="0" xfId="0" applyFont="1" applyFill="1" applyAlignment="1">
      <alignment horizontal="center" vertical="center"/>
    </xf>
    <xf numFmtId="0" fontId="8" fillId="12" borderId="0" xfId="0" applyFont="1" applyFill="1" applyAlignment="1">
      <alignment horizontal="center" vertical="center"/>
    </xf>
    <xf numFmtId="0" fontId="8" fillId="12" borderId="0" xfId="0" applyFont="1" applyFill="1" applyAlignment="1">
      <alignment horizontal="center" vertical="center" wrapText="1"/>
    </xf>
    <xf numFmtId="0" fontId="42"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5"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5"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1" builtinId="5"/>
  </cellStyles>
  <dxfs count="213">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0.18197216000000002</c:v>
                </c:pt>
                <c:pt idx="1">
                  <c:v>0.24021319999999996</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0.20034727648077943</c:v>
                </c:pt>
                <c:pt idx="1">
                  <c:v>0.29865454147243542</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715000" cy="27432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715000" cy="27432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20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2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2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1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20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abSelected="1" zoomScale="80" zoomScaleNormal="80" workbookViewId="0">
      <selection activeCell="C14" sqref="C14:J15"/>
    </sheetView>
  </sheetViews>
  <sheetFormatPr defaultColWidth="0" defaultRowHeight="15" zeroHeight="1" x14ac:dyDescent="0.25"/>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x14ac:dyDescent="0.25">
      <c r="A1" s="520"/>
      <c r="B1" s="520"/>
      <c r="C1" s="520"/>
      <c r="D1" s="496"/>
      <c r="E1" s="496"/>
      <c r="F1" s="496"/>
      <c r="G1" s="496"/>
      <c r="H1" s="496"/>
      <c r="I1" s="496"/>
      <c r="J1" s="496"/>
      <c r="K1" s="520"/>
      <c r="L1" s="520"/>
      <c r="M1" s="520"/>
      <c r="N1" s="520"/>
      <c r="O1" s="520"/>
      <c r="P1" s="520"/>
      <c r="Q1" s="520"/>
      <c r="R1" s="520"/>
      <c r="S1" s="520"/>
      <c r="T1" s="520"/>
      <c r="U1" s="520"/>
      <c r="V1" s="520"/>
      <c r="W1" s="520"/>
      <c r="X1" s="520"/>
      <c r="Y1" s="520"/>
      <c r="Z1" s="520"/>
      <c r="AA1" s="520"/>
      <c r="AB1" s="520"/>
      <c r="AC1" s="520"/>
      <c r="AD1" s="520"/>
    </row>
    <row r="2" spans="1:30" x14ac:dyDescent="0.25">
      <c r="A2" s="520"/>
      <c r="B2" s="520"/>
      <c r="C2" s="520"/>
      <c r="D2" s="496"/>
      <c r="E2" s="496"/>
      <c r="F2" s="496"/>
      <c r="G2" s="496"/>
      <c r="H2" s="496"/>
      <c r="I2" s="496"/>
      <c r="J2" s="496"/>
      <c r="K2" s="520"/>
      <c r="L2" s="520"/>
      <c r="M2" s="520"/>
      <c r="N2" s="520"/>
      <c r="O2" s="520"/>
      <c r="P2" s="520"/>
      <c r="Q2" s="520"/>
      <c r="R2" s="520"/>
      <c r="S2" s="520"/>
      <c r="T2" s="520"/>
      <c r="U2" s="520"/>
      <c r="V2" s="520"/>
      <c r="W2" s="520"/>
      <c r="X2" s="520"/>
      <c r="Y2" s="520"/>
      <c r="Z2" s="520"/>
      <c r="AA2" s="520"/>
      <c r="AB2" s="520"/>
      <c r="AC2" s="520"/>
      <c r="AD2" s="520"/>
    </row>
    <row r="3" spans="1:30" x14ac:dyDescent="0.25">
      <c r="A3" s="520"/>
      <c r="B3" s="520"/>
      <c r="C3" s="520"/>
      <c r="D3" s="496"/>
      <c r="E3" s="496"/>
      <c r="F3" s="496"/>
      <c r="G3" s="496"/>
      <c r="H3" s="496"/>
      <c r="I3" s="496"/>
      <c r="J3" s="496"/>
      <c r="K3" s="520"/>
      <c r="L3" s="520"/>
      <c r="M3" s="520"/>
      <c r="N3" s="520"/>
      <c r="O3" s="520"/>
      <c r="P3" s="520"/>
      <c r="Q3" s="520"/>
      <c r="R3" s="520"/>
      <c r="S3" s="520"/>
      <c r="T3" s="520"/>
      <c r="U3" s="520"/>
      <c r="V3" s="520"/>
      <c r="W3" s="520"/>
      <c r="X3" s="520"/>
      <c r="Y3" s="520"/>
      <c r="Z3" s="520"/>
      <c r="AA3" s="520"/>
      <c r="AB3" s="520"/>
      <c r="AC3" s="520"/>
      <c r="AD3" s="520"/>
    </row>
    <row r="4" spans="1:30" x14ac:dyDescent="0.25">
      <c r="A4" s="520"/>
      <c r="B4" s="520"/>
      <c r="C4" s="520"/>
      <c r="D4" s="496"/>
      <c r="E4" s="496"/>
      <c r="F4" s="496"/>
      <c r="G4" s="496"/>
      <c r="H4" s="496"/>
      <c r="I4" s="496"/>
      <c r="J4" s="496"/>
      <c r="K4" s="520"/>
      <c r="L4" s="520"/>
      <c r="M4" s="520"/>
      <c r="N4" s="520"/>
      <c r="O4" s="520"/>
      <c r="P4" s="520"/>
      <c r="Q4" s="520"/>
      <c r="R4" s="520"/>
      <c r="S4" s="520"/>
      <c r="T4" s="520"/>
      <c r="U4" s="520"/>
      <c r="V4" s="520"/>
      <c r="W4" s="520"/>
      <c r="X4" s="520"/>
      <c r="Y4" s="520"/>
      <c r="Z4" s="520"/>
      <c r="AA4" s="520"/>
      <c r="AB4" s="520"/>
      <c r="AC4" s="520"/>
      <c r="AD4" s="520"/>
    </row>
    <row r="5" spans="1:30" x14ac:dyDescent="0.25">
      <c r="A5" s="520"/>
      <c r="B5" s="520"/>
      <c r="C5" s="520"/>
      <c r="D5" s="496"/>
      <c r="E5" s="496"/>
      <c r="F5" s="496"/>
      <c r="G5" s="496"/>
      <c r="H5" s="496"/>
      <c r="I5" s="496"/>
      <c r="J5" s="496"/>
      <c r="K5" s="520"/>
      <c r="L5" s="520"/>
      <c r="M5" s="520"/>
      <c r="N5" s="520"/>
      <c r="O5" s="520"/>
      <c r="P5" s="520"/>
      <c r="Q5" s="520"/>
      <c r="R5" s="520"/>
      <c r="S5" s="520"/>
      <c r="T5" s="520"/>
      <c r="U5" s="520"/>
      <c r="V5" s="520"/>
      <c r="W5" s="520"/>
      <c r="X5" s="520"/>
      <c r="Y5" s="520"/>
      <c r="Z5" s="520"/>
      <c r="AA5" s="520"/>
      <c r="AB5" s="520"/>
      <c r="AC5" s="520"/>
      <c r="AD5" s="520"/>
    </row>
    <row r="6" spans="1:30" x14ac:dyDescent="0.25">
      <c r="A6" s="643" t="s">
        <v>0</v>
      </c>
      <c r="B6" s="495" t="s">
        <v>1</v>
      </c>
      <c r="C6" s="494"/>
      <c r="D6" s="494"/>
      <c r="E6" s="494"/>
      <c r="F6" s="494"/>
      <c r="G6" s="494"/>
      <c r="H6" s="494"/>
      <c r="I6" s="494"/>
      <c r="J6" s="494"/>
      <c r="K6" s="520"/>
      <c r="L6" s="520"/>
      <c r="M6" s="520"/>
      <c r="N6" s="520"/>
      <c r="O6" s="520"/>
      <c r="P6" s="520"/>
      <c r="Q6" s="520"/>
      <c r="R6" s="520"/>
      <c r="S6" s="520"/>
      <c r="T6" s="520"/>
      <c r="U6" s="520"/>
      <c r="V6" s="520"/>
      <c r="W6" s="520"/>
      <c r="X6" s="520"/>
      <c r="Y6" s="520"/>
      <c r="Z6" s="520"/>
      <c r="AA6" s="520"/>
      <c r="AB6" s="520"/>
      <c r="AC6" s="520"/>
      <c r="AD6" s="520"/>
    </row>
    <row r="7" spans="1:30" x14ac:dyDescent="0.25">
      <c r="A7" s="520"/>
      <c r="B7" s="494"/>
      <c r="C7" s="494"/>
      <c r="D7" s="494"/>
      <c r="E7" s="494"/>
      <c r="F7" s="494"/>
      <c r="G7" s="494"/>
      <c r="H7" s="494"/>
      <c r="I7" s="494"/>
      <c r="J7" s="494"/>
      <c r="K7" s="520"/>
      <c r="L7" s="520"/>
      <c r="M7" s="520"/>
      <c r="N7" s="520"/>
      <c r="O7" s="520"/>
      <c r="P7" s="520"/>
      <c r="Q7" s="520"/>
      <c r="R7" s="520"/>
      <c r="S7" s="520"/>
      <c r="T7" s="520"/>
      <c r="U7" s="520"/>
      <c r="V7" s="520"/>
      <c r="W7" s="520"/>
      <c r="X7" s="520"/>
      <c r="Y7" s="520"/>
      <c r="Z7" s="520"/>
      <c r="AA7" s="520"/>
      <c r="AB7" s="520"/>
      <c r="AC7" s="520"/>
      <c r="AD7" s="520"/>
    </row>
    <row r="8" spans="1:30" ht="28.5" customHeight="1" x14ac:dyDescent="0.25">
      <c r="A8" s="520"/>
      <c r="B8" s="494"/>
      <c r="C8" s="494"/>
      <c r="D8" s="494"/>
      <c r="E8" s="494"/>
      <c r="F8" s="494"/>
      <c r="G8" s="494"/>
      <c r="H8" s="494"/>
      <c r="I8" s="494"/>
      <c r="J8" s="494"/>
      <c r="K8" s="520"/>
      <c r="L8" s="520"/>
      <c r="M8" s="520"/>
      <c r="N8" s="520"/>
      <c r="O8" s="520"/>
      <c r="P8" s="520"/>
      <c r="Q8" s="520"/>
      <c r="R8" s="520"/>
      <c r="S8" s="520"/>
      <c r="T8" s="520"/>
      <c r="U8" s="520"/>
      <c r="V8" s="520"/>
      <c r="W8" s="520"/>
      <c r="X8" s="520"/>
      <c r="Y8" s="520"/>
      <c r="Z8" s="520"/>
      <c r="AA8" s="520"/>
      <c r="AB8" s="520"/>
      <c r="AC8" s="520"/>
      <c r="AD8" s="520"/>
    </row>
    <row r="9" spans="1:30" ht="14.65" customHeight="1" x14ac:dyDescent="0.25">
      <c r="A9" s="520"/>
      <c r="B9" s="493"/>
      <c r="C9" s="493"/>
      <c r="D9" s="493"/>
      <c r="E9" s="493"/>
      <c r="F9" s="493"/>
      <c r="G9" s="493"/>
      <c r="H9" s="493"/>
      <c r="I9" s="493"/>
      <c r="J9" s="493"/>
      <c r="K9" s="520"/>
      <c r="L9" s="520"/>
      <c r="M9" s="520"/>
      <c r="N9" s="520"/>
      <c r="O9" s="520"/>
      <c r="P9" s="520"/>
      <c r="Q9" s="520"/>
      <c r="R9" s="520"/>
      <c r="S9" s="520"/>
      <c r="T9" s="520"/>
      <c r="U9" s="520"/>
      <c r="V9" s="520"/>
      <c r="W9" s="520"/>
      <c r="X9" s="520"/>
      <c r="Y9" s="520"/>
      <c r="Z9" s="520"/>
      <c r="AA9" s="520"/>
      <c r="AB9" s="520"/>
      <c r="AC9" s="520"/>
      <c r="AD9" s="520"/>
    </row>
    <row r="10" spans="1:30" ht="20.65" customHeight="1" x14ac:dyDescent="0.25">
      <c r="A10" s="520"/>
      <c r="B10" s="493"/>
      <c r="C10" s="493"/>
      <c r="D10" s="493"/>
      <c r="E10" s="493"/>
      <c r="F10" s="493"/>
      <c r="G10" s="493"/>
      <c r="H10" s="493"/>
      <c r="I10" s="493"/>
      <c r="J10" s="493"/>
      <c r="K10" s="520"/>
      <c r="L10" s="520"/>
      <c r="M10" s="520"/>
      <c r="N10" s="520"/>
      <c r="O10" s="520"/>
      <c r="P10" s="520"/>
      <c r="Q10" s="520"/>
      <c r="R10" s="520"/>
      <c r="S10" s="520"/>
      <c r="T10" s="520"/>
      <c r="U10" s="520"/>
      <c r="V10" s="520"/>
      <c r="W10" s="520"/>
      <c r="X10" s="520"/>
      <c r="Y10" s="520"/>
      <c r="Z10" s="520"/>
      <c r="AA10" s="520"/>
      <c r="AB10" s="520"/>
      <c r="AC10" s="520"/>
      <c r="AD10" s="520"/>
    </row>
    <row r="11" spans="1:30" x14ac:dyDescent="0.25">
      <c r="A11" s="520"/>
      <c r="B11" s="492" t="s">
        <v>2</v>
      </c>
      <c r="C11" s="492"/>
      <c r="D11" s="492"/>
      <c r="E11" s="492"/>
      <c r="F11" s="491" t="s">
        <v>3</v>
      </c>
      <c r="G11" s="491"/>
      <c r="H11" s="491"/>
      <c r="I11" s="491"/>
      <c r="J11" s="491"/>
      <c r="K11" s="520"/>
      <c r="L11" s="520"/>
      <c r="M11" s="520"/>
      <c r="N11" s="520"/>
      <c r="O11" s="520"/>
      <c r="P11" s="520"/>
      <c r="Q11" s="520"/>
      <c r="R11" s="520"/>
      <c r="S11" s="520"/>
      <c r="T11" s="520"/>
      <c r="U11" s="520"/>
      <c r="V11" s="520"/>
      <c r="W11" s="520"/>
      <c r="X11" s="520"/>
      <c r="Y11" s="520"/>
      <c r="Z11" s="520"/>
      <c r="AA11" s="520"/>
      <c r="AB11" s="520"/>
      <c r="AC11" s="520"/>
      <c r="AD11" s="520"/>
    </row>
    <row r="12" spans="1:30" x14ac:dyDescent="0.25">
      <c r="A12" s="520"/>
      <c r="B12" s="490"/>
      <c r="C12" s="490"/>
      <c r="D12" s="490"/>
      <c r="E12" s="490"/>
      <c r="F12" s="490"/>
      <c r="G12" s="490"/>
      <c r="H12" s="490"/>
      <c r="I12" s="490"/>
      <c r="J12" s="490"/>
      <c r="K12" s="520"/>
      <c r="L12" s="520"/>
      <c r="M12" s="520"/>
      <c r="N12" s="520"/>
      <c r="O12" s="520"/>
      <c r="P12" s="520"/>
      <c r="Q12" s="520"/>
      <c r="R12" s="520"/>
      <c r="S12" s="520"/>
      <c r="T12" s="520"/>
      <c r="U12" s="520"/>
      <c r="V12" s="520"/>
      <c r="W12" s="520"/>
      <c r="X12" s="520"/>
      <c r="Y12" s="520"/>
      <c r="Z12" s="520"/>
      <c r="AA12" s="520"/>
      <c r="AB12" s="520"/>
      <c r="AC12" s="520"/>
      <c r="AD12" s="520"/>
    </row>
    <row r="13" spans="1:30" x14ac:dyDescent="0.25">
      <c r="A13" s="520"/>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row>
    <row r="14" spans="1:30" ht="14.65" customHeight="1" x14ac:dyDescent="0.25">
      <c r="A14" s="520"/>
      <c r="B14" s="489"/>
      <c r="C14" s="488"/>
      <c r="D14" s="488"/>
      <c r="E14" s="488"/>
      <c r="F14" s="488"/>
      <c r="G14" s="488"/>
      <c r="H14" s="488"/>
      <c r="I14" s="488"/>
      <c r="J14" s="488"/>
      <c r="K14" s="520"/>
      <c r="L14" s="520"/>
      <c r="M14" s="520"/>
      <c r="N14" s="520"/>
      <c r="O14" s="520"/>
      <c r="P14" s="520"/>
      <c r="Q14" s="520"/>
      <c r="R14" s="520"/>
      <c r="S14" s="520"/>
      <c r="T14" s="520"/>
      <c r="U14" s="520"/>
      <c r="V14" s="520"/>
      <c r="W14" s="520"/>
      <c r="X14" s="520"/>
      <c r="Y14" s="520"/>
      <c r="Z14" s="520"/>
      <c r="AA14" s="520"/>
      <c r="AB14" s="520"/>
      <c r="AC14" s="520"/>
      <c r="AD14" s="520"/>
    </row>
    <row r="15" spans="1:30" ht="81" customHeight="1" x14ac:dyDescent="0.25">
      <c r="A15" s="520"/>
      <c r="B15" s="489"/>
      <c r="C15" s="488"/>
      <c r="D15" s="488"/>
      <c r="E15" s="488"/>
      <c r="F15" s="488"/>
      <c r="G15" s="488"/>
      <c r="H15" s="488"/>
      <c r="I15" s="488"/>
      <c r="J15" s="488"/>
      <c r="K15" s="520"/>
      <c r="L15" s="520"/>
      <c r="M15" s="520"/>
      <c r="N15" s="520"/>
      <c r="O15" s="520"/>
      <c r="P15" s="520"/>
      <c r="Q15" s="520"/>
      <c r="R15" s="520"/>
      <c r="S15" s="520"/>
      <c r="T15" s="520"/>
      <c r="U15" s="520"/>
      <c r="V15" s="520"/>
      <c r="W15" s="520"/>
      <c r="X15" s="520"/>
      <c r="Y15" s="520"/>
      <c r="Z15" s="520"/>
      <c r="AA15" s="520"/>
      <c r="AB15" s="520"/>
      <c r="AC15" s="520"/>
      <c r="AD15" s="520"/>
    </row>
    <row r="16" spans="1:30" ht="21.6" customHeight="1" x14ac:dyDescent="0.25">
      <c r="A16" s="520"/>
      <c r="B16" s="532"/>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row>
    <row r="17" spans="1:30" ht="21" customHeight="1" x14ac:dyDescent="0.35">
      <c r="A17" s="520"/>
      <c r="B17" s="487" t="s">
        <v>4</v>
      </c>
      <c r="C17" s="487"/>
      <c r="D17" s="487"/>
      <c r="E17" s="487"/>
      <c r="F17" s="487"/>
      <c r="G17" s="487"/>
      <c r="H17" s="487"/>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15" customHeight="1" x14ac:dyDescent="0.25">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row>
    <row r="19" spans="1:30" ht="14.65" customHeight="1" x14ac:dyDescent="0.25">
      <c r="A19" s="520"/>
      <c r="B19" s="486"/>
      <c r="C19" s="485"/>
      <c r="D19" s="482" t="s">
        <v>5</v>
      </c>
      <c r="E19" s="481"/>
      <c r="F19" s="481"/>
      <c r="G19" s="481"/>
      <c r="H19" s="480"/>
      <c r="I19" s="520"/>
      <c r="J19" s="520"/>
      <c r="K19" s="520"/>
      <c r="L19" s="520"/>
      <c r="M19" s="520"/>
      <c r="N19" s="520"/>
      <c r="O19" s="520"/>
      <c r="P19" s="520"/>
      <c r="Q19" s="520"/>
      <c r="R19" s="520"/>
      <c r="S19" s="520"/>
      <c r="T19" s="520"/>
      <c r="U19" s="520"/>
      <c r="V19" s="520"/>
      <c r="W19" s="520"/>
      <c r="X19" s="520"/>
      <c r="Y19" s="520"/>
      <c r="Z19" s="520"/>
      <c r="AA19" s="520"/>
      <c r="AB19" s="520"/>
      <c r="AC19" s="520"/>
      <c r="AD19" s="520"/>
    </row>
    <row r="20" spans="1:30" ht="15" customHeight="1" x14ac:dyDescent="0.25">
      <c r="A20" s="520"/>
      <c r="B20" s="484"/>
      <c r="C20" s="483"/>
      <c r="D20" s="479"/>
      <c r="E20" s="478"/>
      <c r="F20" s="478"/>
      <c r="G20" s="478"/>
      <c r="H20" s="477"/>
      <c r="I20" s="520"/>
      <c r="J20" s="520"/>
      <c r="K20" s="520"/>
      <c r="L20" s="520"/>
      <c r="M20" s="520"/>
      <c r="N20" s="520"/>
      <c r="O20" s="520"/>
      <c r="P20" s="520"/>
      <c r="Q20" s="520"/>
      <c r="R20" s="520"/>
      <c r="S20" s="520"/>
      <c r="T20" s="520"/>
      <c r="U20" s="520"/>
      <c r="V20" s="520"/>
      <c r="W20" s="520"/>
      <c r="X20" s="520"/>
      <c r="Y20" s="520"/>
      <c r="Z20" s="520"/>
      <c r="AA20" s="520"/>
      <c r="AB20" s="520"/>
      <c r="AC20" s="520"/>
      <c r="AD20" s="520"/>
    </row>
    <row r="21" spans="1:30" ht="14.65" customHeight="1" x14ac:dyDescent="0.25">
      <c r="A21" s="520"/>
      <c r="B21" s="476"/>
      <c r="C21" s="475"/>
      <c r="D21" s="472" t="s">
        <v>6</v>
      </c>
      <c r="E21" s="471"/>
      <c r="F21" s="471"/>
      <c r="G21" s="471"/>
      <c r="H21" s="470"/>
      <c r="I21" s="520"/>
      <c r="J21" s="520"/>
      <c r="K21" s="520"/>
      <c r="L21" s="520"/>
      <c r="M21" s="520"/>
      <c r="N21" s="520"/>
      <c r="O21" s="520"/>
      <c r="P21" s="520"/>
      <c r="Q21" s="520"/>
      <c r="R21" s="520"/>
      <c r="S21" s="520"/>
      <c r="T21" s="520"/>
      <c r="U21" s="520"/>
      <c r="V21" s="520"/>
      <c r="W21" s="520"/>
      <c r="X21" s="520"/>
      <c r="Y21" s="520"/>
      <c r="Z21" s="520"/>
      <c r="AA21" s="520"/>
      <c r="AB21" s="520"/>
      <c r="AC21" s="520"/>
      <c r="AD21" s="520"/>
    </row>
    <row r="22" spans="1:30" ht="14.65" customHeight="1" x14ac:dyDescent="0.25">
      <c r="A22" s="520"/>
      <c r="B22" s="474"/>
      <c r="C22" s="473"/>
      <c r="D22" s="479"/>
      <c r="E22" s="478"/>
      <c r="F22" s="478"/>
      <c r="G22" s="478"/>
      <c r="H22" s="477"/>
      <c r="I22" s="520"/>
      <c r="J22" s="520"/>
      <c r="K22" s="520"/>
      <c r="L22" s="520"/>
      <c r="M22" s="520"/>
      <c r="N22" s="520"/>
      <c r="O22" s="520"/>
      <c r="P22" s="520"/>
      <c r="Q22" s="520"/>
      <c r="R22" s="520"/>
      <c r="S22" s="520"/>
      <c r="T22" s="520"/>
      <c r="U22" s="520"/>
      <c r="V22" s="520"/>
      <c r="W22" s="520"/>
      <c r="X22" s="520"/>
      <c r="Y22" s="520"/>
      <c r="Z22" s="520"/>
      <c r="AA22" s="520"/>
      <c r="AB22" s="520"/>
      <c r="AC22" s="520"/>
      <c r="AD22" s="520"/>
    </row>
    <row r="23" spans="1:30" ht="14.65" customHeight="1" x14ac:dyDescent="0.25">
      <c r="A23" s="520"/>
      <c r="B23" s="469"/>
      <c r="C23" s="468"/>
      <c r="D23" s="465" t="s">
        <v>7</v>
      </c>
      <c r="E23" s="464"/>
      <c r="F23" s="464"/>
      <c r="G23" s="464"/>
      <c r="H23" s="463"/>
      <c r="I23" s="520"/>
      <c r="J23" s="520"/>
      <c r="K23" s="520"/>
      <c r="L23" s="520"/>
      <c r="M23" s="520"/>
      <c r="N23" s="520"/>
      <c r="O23" s="520"/>
      <c r="P23" s="520"/>
      <c r="Q23" s="520"/>
      <c r="R23" s="520"/>
      <c r="S23" s="520"/>
      <c r="T23" s="520"/>
      <c r="U23" s="520"/>
      <c r="V23" s="520"/>
      <c r="W23" s="520"/>
      <c r="X23" s="520"/>
      <c r="Y23" s="520"/>
      <c r="Z23" s="520"/>
      <c r="AA23" s="520"/>
      <c r="AB23" s="520"/>
      <c r="AC23" s="520"/>
      <c r="AD23" s="520"/>
    </row>
    <row r="24" spans="1:30" ht="14.65" customHeight="1" x14ac:dyDescent="0.25">
      <c r="A24" s="520"/>
      <c r="B24" s="467"/>
      <c r="C24" s="466"/>
      <c r="D24" s="462"/>
      <c r="E24" s="461"/>
      <c r="F24" s="461"/>
      <c r="G24" s="461"/>
      <c r="H24" s="46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1:30" ht="28.15" customHeight="1" x14ac:dyDescent="0.25">
      <c r="A25" s="520"/>
      <c r="B25" s="866"/>
      <c r="C25" s="867"/>
      <c r="D25" s="459" t="s">
        <v>8</v>
      </c>
      <c r="E25" s="458"/>
      <c r="F25" s="458"/>
      <c r="G25" s="458"/>
      <c r="H25" s="457"/>
      <c r="I25" s="520"/>
      <c r="J25" s="520"/>
      <c r="K25" s="520"/>
      <c r="L25" s="520"/>
      <c r="M25" s="520"/>
      <c r="N25" s="520"/>
      <c r="O25" s="520"/>
      <c r="P25" s="520"/>
      <c r="Q25" s="520"/>
      <c r="R25" s="520"/>
      <c r="S25" s="520"/>
      <c r="T25" s="520"/>
      <c r="U25" s="520"/>
      <c r="V25" s="520"/>
      <c r="W25" s="520"/>
      <c r="X25" s="520"/>
      <c r="Y25" s="520"/>
      <c r="Z25" s="520"/>
      <c r="AA25" s="520"/>
      <c r="AB25" s="520"/>
      <c r="AC25" s="520"/>
      <c r="AD25" s="520"/>
    </row>
    <row r="26" spans="1:30" ht="32.1" customHeight="1" x14ac:dyDescent="0.25">
      <c r="A26" s="520"/>
      <c r="B26" s="868"/>
      <c r="C26" s="869"/>
      <c r="D26" s="459" t="s">
        <v>9</v>
      </c>
      <c r="E26" s="458"/>
      <c r="F26" s="458"/>
      <c r="G26" s="458"/>
      <c r="H26" s="457"/>
      <c r="I26" s="520"/>
      <c r="J26" s="520"/>
      <c r="K26" s="520"/>
      <c r="L26" s="520"/>
      <c r="M26" s="520"/>
      <c r="N26" s="520"/>
      <c r="O26" s="520"/>
      <c r="P26" s="520"/>
      <c r="Q26" s="520"/>
      <c r="R26" s="520"/>
      <c r="S26" s="520"/>
      <c r="T26" s="520"/>
      <c r="U26" s="520"/>
      <c r="V26" s="520"/>
      <c r="W26" s="520"/>
      <c r="X26" s="520"/>
      <c r="Y26" s="520"/>
      <c r="Z26" s="520"/>
      <c r="AA26" s="520"/>
      <c r="AB26" s="520"/>
      <c r="AC26" s="520"/>
      <c r="AD26" s="520"/>
    </row>
    <row r="27" spans="1:30" ht="27" customHeight="1" x14ac:dyDescent="0.25">
      <c r="A27" s="520"/>
      <c r="B27" s="456" t="s">
        <v>10</v>
      </c>
      <c r="C27" s="455"/>
      <c r="D27" s="459" t="s">
        <v>11</v>
      </c>
      <c r="E27" s="458"/>
      <c r="F27" s="458"/>
      <c r="G27" s="458"/>
      <c r="H27" s="457"/>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1:30" ht="24" customHeight="1" x14ac:dyDescent="0.25">
      <c r="A28" s="520"/>
      <c r="B28" s="454" t="s">
        <v>12</v>
      </c>
      <c r="C28" s="453"/>
      <c r="D28" s="452" t="s">
        <v>13</v>
      </c>
      <c r="E28" s="452"/>
      <c r="F28" s="452"/>
      <c r="G28" s="452"/>
      <c r="H28" s="451"/>
      <c r="I28" s="520"/>
      <c r="J28" s="450" t="s">
        <v>14</v>
      </c>
      <c r="K28" s="450"/>
      <c r="L28" s="450"/>
      <c r="M28" s="450"/>
      <c r="N28" s="450"/>
      <c r="O28" s="450"/>
      <c r="P28" s="450"/>
      <c r="Q28" s="450"/>
      <c r="R28" s="450"/>
      <c r="S28" s="520"/>
      <c r="T28" s="520"/>
      <c r="U28" s="520"/>
      <c r="V28" s="520"/>
      <c r="W28" s="520"/>
      <c r="X28" s="520"/>
      <c r="Y28" s="520"/>
      <c r="Z28" s="520"/>
      <c r="AA28" s="520"/>
      <c r="AB28" s="520"/>
      <c r="AC28" s="520"/>
      <c r="AD28" s="520"/>
    </row>
    <row r="29" spans="1:30" ht="24" customHeight="1" x14ac:dyDescent="0.25">
      <c r="A29" s="520"/>
      <c r="B29" s="449"/>
      <c r="C29" s="448"/>
      <c r="D29" s="447" t="s">
        <v>15</v>
      </c>
      <c r="E29" s="447"/>
      <c r="F29" s="447"/>
      <c r="G29" s="447"/>
      <c r="H29" s="446"/>
      <c r="I29" s="520"/>
      <c r="J29" s="520"/>
      <c r="K29" s="520"/>
      <c r="L29" s="520"/>
      <c r="M29" s="520"/>
      <c r="N29" s="520"/>
      <c r="O29" s="520"/>
      <c r="P29" s="520"/>
      <c r="Q29" s="520"/>
      <c r="R29" s="520"/>
      <c r="S29" s="520"/>
      <c r="T29" s="520"/>
      <c r="U29" s="520"/>
      <c r="V29" s="520"/>
      <c r="W29" s="520"/>
      <c r="X29" s="520"/>
      <c r="Y29" s="520"/>
      <c r="Z29" s="520"/>
      <c r="AA29" s="520"/>
      <c r="AB29" s="520"/>
      <c r="AC29" s="520"/>
      <c r="AD29" s="520"/>
    </row>
    <row r="30" spans="1:30" ht="27.6" customHeight="1" x14ac:dyDescent="0.25">
      <c r="A30" s="520"/>
      <c r="B30" s="520"/>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row>
    <row r="31" spans="1:30" ht="21.6" customHeight="1" x14ac:dyDescent="0.25">
      <c r="A31" s="520"/>
      <c r="B31" s="520"/>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row>
    <row r="32" spans="1:30" x14ac:dyDescent="0.25">
      <c r="A32" s="520"/>
      <c r="B32" s="520"/>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row>
    <row r="33" spans="1:30" ht="15.6" customHeight="1" x14ac:dyDescent="0.25">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row>
    <row r="34" spans="1:30" x14ac:dyDescent="0.25">
      <c r="A34" s="520"/>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row>
    <row r="35" spans="1:30" ht="15.6" customHeight="1" x14ac:dyDescent="0.25">
      <c r="A35" s="520"/>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row>
    <row r="36" spans="1:30" x14ac:dyDescent="0.25">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row>
    <row r="37" spans="1:30" hidden="1" x14ac:dyDescent="0.25">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row>
    <row r="38" spans="1:30" hidden="1" x14ac:dyDescent="0.25">
      <c r="A38" s="520"/>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row>
    <row r="39" spans="1:30" hidden="1" x14ac:dyDescent="0.25">
      <c r="A39" s="520"/>
      <c r="B39" s="520"/>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row>
    <row r="40" spans="1:30" hidden="1" x14ac:dyDescent="0.25">
      <c r="A40" s="520"/>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row>
    <row r="41" spans="1:30" hidden="1" x14ac:dyDescent="0.25">
      <c r="A41" s="520"/>
      <c r="B41" s="520"/>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row>
    <row r="42" spans="1:30" hidden="1" x14ac:dyDescent="0.25">
      <c r="A42" s="520"/>
      <c r="B42" s="520"/>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row>
    <row r="43" spans="1:30" hidden="1" x14ac:dyDescent="0.25">
      <c r="A43" s="520"/>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row>
    <row r="44" spans="1:30" hidden="1" x14ac:dyDescent="0.25">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row>
    <row r="45" spans="1:30" hidden="1" x14ac:dyDescent="0.25">
      <c r="A45" s="520"/>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row>
    <row r="46" spans="1:30" hidden="1" x14ac:dyDescent="0.25">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row>
    <row r="47" spans="1:30" hidden="1" x14ac:dyDescent="0.25">
      <c r="A47" s="520"/>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row>
    <row r="48" spans="1:30" hidden="1" x14ac:dyDescent="0.25">
      <c r="A48" s="520"/>
      <c r="B48" s="520"/>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1:30" hidden="1" x14ac:dyDescent="0.25">
      <c r="A49" s="520"/>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row>
    <row r="50" spans="1:30" hidden="1" x14ac:dyDescent="0.25">
      <c r="A50" s="520"/>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row>
    <row r="51" spans="1:30" hidden="1" x14ac:dyDescent="0.25">
      <c r="A51" s="520"/>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row>
    <row r="52" spans="1:30" hidden="1" x14ac:dyDescent="0.25">
      <c r="A52" s="520"/>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row>
    <row r="53" spans="1:30" hidden="1" x14ac:dyDescent="0.25">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row>
    <row r="54" spans="1:30" hidden="1" x14ac:dyDescent="0.25">
      <c r="A54" s="520"/>
      <c r="B54" s="520"/>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row>
    <row r="55" spans="1:30" hidden="1" x14ac:dyDescent="0.25">
      <c r="A55" s="520"/>
      <c r="B55" s="520"/>
      <c r="C55" s="520"/>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row>
    <row r="56" spans="1:30" hidden="1" x14ac:dyDescent="0.25">
      <c r="A56" s="520"/>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row>
    <row r="57" spans="1:30" hidden="1" x14ac:dyDescent="0.25">
      <c r="A57" s="520"/>
      <c r="B57" s="520"/>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row>
    <row r="58" spans="1:30" hidden="1" x14ac:dyDescent="0.25">
      <c r="A58" s="520"/>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1:30" hidden="1" x14ac:dyDescent="0.25">
      <c r="A59" s="520"/>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1:30" hidden="1" x14ac:dyDescent="0.25">
      <c r="A60" s="520"/>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1:30" hidden="1" x14ac:dyDescent="0.25">
      <c r="A61" s="520"/>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1:30" hidden="1" x14ac:dyDescent="0.25">
      <c r="A62" s="520"/>
      <c r="B62" s="520"/>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row>
    <row r="63" spans="1:30" hidden="1" x14ac:dyDescent="0.25">
      <c r="A63" s="520"/>
      <c r="B63" s="520"/>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row>
    <row r="64" spans="1:30" hidden="1" x14ac:dyDescent="0.25">
      <c r="A64" s="520"/>
      <c r="B64" s="520"/>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row>
    <row r="65" spans="1:30" hidden="1" x14ac:dyDescent="0.25">
      <c r="A65" s="520"/>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row>
    <row r="66" spans="1:30" hidden="1" x14ac:dyDescent="0.25">
      <c r="A66" s="520"/>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1:30" hidden="1" x14ac:dyDescent="0.25">
      <c r="A67" s="520"/>
      <c r="B67" s="520"/>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row>
    <row r="68" spans="1:30" hidden="1" x14ac:dyDescent="0.25">
      <c r="A68" s="520"/>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row>
    <row r="69" spans="1:30" hidden="1" x14ac:dyDescent="0.25">
      <c r="A69" s="520"/>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row>
    <row r="70" spans="1:30" hidden="1" x14ac:dyDescent="0.25">
      <c r="A70" s="520"/>
      <c r="B70" s="520"/>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row>
    <row r="71" spans="1:30" hidden="1" x14ac:dyDescent="0.25">
      <c r="A71" s="520"/>
      <c r="B71" s="520"/>
      <c r="C71" s="520"/>
      <c r="D71" s="520"/>
      <c r="E71" s="520"/>
      <c r="F71" s="520"/>
      <c r="G71" s="520"/>
      <c r="H71" s="520"/>
      <c r="I71" s="520"/>
      <c r="J71" s="520"/>
      <c r="K71" s="520"/>
      <c r="L71" s="520"/>
      <c r="M71" s="520"/>
      <c r="N71" s="520"/>
      <c r="O71" s="520"/>
      <c r="P71" s="520"/>
      <c r="Q71" s="520"/>
      <c r="R71" s="520"/>
      <c r="S71" s="520"/>
      <c r="T71" s="520"/>
      <c r="U71" s="520"/>
      <c r="V71" s="520"/>
      <c r="W71" s="520"/>
      <c r="X71" s="520"/>
      <c r="Y71" s="520"/>
      <c r="Z71" s="520"/>
      <c r="AA71" s="520"/>
      <c r="AB71" s="520"/>
      <c r="AC71" s="520"/>
      <c r="AD71" s="520"/>
    </row>
    <row r="72" spans="1:30" hidden="1" x14ac:dyDescent="0.25">
      <c r="A72" s="520"/>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row>
    <row r="73" spans="1:30" hidden="1" x14ac:dyDescent="0.25">
      <c r="A73" s="520"/>
      <c r="B73" s="520"/>
      <c r="C73" s="520"/>
      <c r="D73" s="520"/>
      <c r="E73" s="520"/>
      <c r="F73" s="520"/>
      <c r="G73" s="520"/>
      <c r="H73" s="520"/>
      <c r="I73" s="520"/>
      <c r="J73" s="520"/>
      <c r="K73" s="520"/>
      <c r="L73" s="520"/>
      <c r="M73" s="520"/>
      <c r="N73" s="520"/>
      <c r="O73" s="520"/>
      <c r="P73" s="520"/>
      <c r="Q73" s="520"/>
      <c r="R73" s="520"/>
      <c r="S73" s="520"/>
      <c r="T73" s="520"/>
      <c r="U73" s="520"/>
      <c r="V73" s="520"/>
      <c r="W73" s="520"/>
      <c r="X73" s="520"/>
      <c r="Y73" s="520"/>
      <c r="Z73" s="520"/>
      <c r="AA73" s="520"/>
      <c r="AB73" s="520"/>
      <c r="AC73" s="520"/>
      <c r="AD73" s="520"/>
    </row>
    <row r="74" spans="1:30" hidden="1" x14ac:dyDescent="0.25">
      <c r="A74" s="520"/>
      <c r="B74" s="520"/>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row>
    <row r="75" spans="1:30" hidden="1" x14ac:dyDescent="0.25">
      <c r="A75" s="520"/>
      <c r="B75" s="520"/>
      <c r="C75" s="520"/>
      <c r="D75" s="520"/>
      <c r="E75" s="520"/>
      <c r="F75" s="520"/>
      <c r="G75" s="520"/>
      <c r="H75" s="520"/>
      <c r="I75" s="520"/>
      <c r="J75" s="520"/>
      <c r="K75" s="520"/>
      <c r="L75" s="520"/>
      <c r="M75" s="520"/>
      <c r="N75" s="520"/>
      <c r="O75" s="520"/>
      <c r="P75" s="520"/>
      <c r="Q75" s="520"/>
      <c r="R75" s="520"/>
      <c r="S75" s="520"/>
      <c r="T75" s="520"/>
      <c r="U75" s="520"/>
      <c r="V75" s="520"/>
      <c r="W75" s="520"/>
      <c r="X75" s="520"/>
      <c r="Y75" s="520"/>
      <c r="Z75" s="520"/>
      <c r="AA75" s="520"/>
      <c r="AB75" s="520"/>
      <c r="AC75" s="520"/>
      <c r="AD75" s="520"/>
    </row>
    <row r="76" spans="1:30" hidden="1" x14ac:dyDescent="0.25">
      <c r="A76" s="520"/>
      <c r="B76" s="520"/>
      <c r="C76" s="520"/>
      <c r="D76" s="520"/>
      <c r="E76" s="520"/>
      <c r="F76" s="520"/>
      <c r="G76" s="520"/>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row>
    <row r="77" spans="1:30" hidden="1" x14ac:dyDescent="0.25">
      <c r="A77" s="520"/>
      <c r="B77" s="520"/>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row>
    <row r="78" spans="1:30" hidden="1" x14ac:dyDescent="0.25">
      <c r="A78" s="520"/>
      <c r="B78" s="520"/>
      <c r="C78" s="520"/>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row>
    <row r="79" spans="1:30" hidden="1" x14ac:dyDescent="0.25">
      <c r="A79" s="520"/>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row>
    <row r="80" spans="1:30" hidden="1" x14ac:dyDescent="0.25">
      <c r="A80" s="520"/>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row>
    <row r="81" spans="1:30" hidden="1" x14ac:dyDescent="0.25">
      <c r="A81" s="520"/>
      <c r="B81" s="520"/>
      <c r="C81" s="520"/>
      <c r="D81" s="520"/>
      <c r="E81" s="520"/>
      <c r="F81" s="520"/>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row>
    <row r="82" spans="1:30" hidden="1" x14ac:dyDescent="0.25">
      <c r="A82" s="520"/>
      <c r="B82" s="520"/>
      <c r="C82" s="520"/>
      <c r="D82" s="520"/>
      <c r="E82" s="520"/>
      <c r="F82" s="520"/>
      <c r="G82" s="520"/>
      <c r="H82" s="520"/>
      <c r="I82" s="520"/>
      <c r="J82" s="520"/>
      <c r="K82" s="520"/>
      <c r="L82" s="520"/>
      <c r="M82" s="520"/>
      <c r="N82" s="520"/>
      <c r="O82" s="520"/>
      <c r="P82" s="520"/>
      <c r="Q82" s="520"/>
      <c r="R82" s="520"/>
      <c r="S82" s="520"/>
      <c r="T82" s="520"/>
      <c r="U82" s="520"/>
      <c r="V82" s="520"/>
      <c r="W82" s="520"/>
      <c r="X82" s="520"/>
      <c r="Y82" s="520"/>
      <c r="Z82" s="520"/>
      <c r="AA82" s="520"/>
      <c r="AB82" s="520"/>
      <c r="AC82" s="520"/>
      <c r="AD82" s="520"/>
    </row>
    <row r="83" spans="1:30" hidden="1" x14ac:dyDescent="0.25">
      <c r="A83" s="520"/>
      <c r="B83" s="520"/>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0"/>
      <c r="AC83" s="520"/>
      <c r="AD83" s="520"/>
    </row>
    <row r="84" spans="1:30" hidden="1" x14ac:dyDescent="0.25">
      <c r="A84" s="520"/>
      <c r="B84" s="520"/>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520"/>
      <c r="AC84" s="520"/>
      <c r="AD84" s="520"/>
    </row>
    <row r="85" spans="1:30" hidden="1" x14ac:dyDescent="0.25">
      <c r="A85" s="520"/>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520"/>
      <c r="AC85" s="520"/>
      <c r="AD85" s="520"/>
    </row>
    <row r="86" spans="1:30" hidden="1" x14ac:dyDescent="0.25">
      <c r="A86" s="520"/>
      <c r="B86" s="520"/>
      <c r="C86" s="520"/>
      <c r="D86" s="520"/>
      <c r="E86" s="520"/>
      <c r="F86" s="520"/>
      <c r="G86" s="520"/>
      <c r="H86" s="520"/>
      <c r="I86" s="520"/>
      <c r="J86" s="520"/>
      <c r="K86" s="520"/>
      <c r="L86" s="520"/>
      <c r="M86" s="520"/>
      <c r="N86" s="520"/>
      <c r="O86" s="520"/>
      <c r="P86" s="520"/>
      <c r="Q86" s="520"/>
      <c r="R86" s="520"/>
      <c r="S86" s="520"/>
      <c r="T86" s="520"/>
      <c r="U86" s="520"/>
      <c r="V86" s="520"/>
      <c r="W86" s="520"/>
      <c r="X86" s="520"/>
      <c r="Y86" s="520"/>
      <c r="Z86" s="520"/>
      <c r="AA86" s="520"/>
      <c r="AB86" s="520"/>
      <c r="AC86" s="520"/>
      <c r="AD86" s="520"/>
    </row>
    <row r="87" spans="1:30" hidden="1" x14ac:dyDescent="0.25">
      <c r="A87" s="520"/>
      <c r="B87" s="520"/>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0"/>
      <c r="AC87" s="520"/>
      <c r="AD87" s="520"/>
    </row>
    <row r="88" spans="1:30" hidden="1" x14ac:dyDescent="0.25">
      <c r="A88" s="520"/>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520"/>
      <c r="AC88" s="520"/>
      <c r="AD88" s="520"/>
    </row>
    <row r="89" spans="1:30" hidden="1" x14ac:dyDescent="0.25">
      <c r="A89" s="520"/>
      <c r="B89" s="520"/>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0"/>
      <c r="AC89" s="520"/>
      <c r="AD89" s="520"/>
    </row>
    <row r="90" spans="1:30" hidden="1"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row>
    <row r="91" spans="1:30" hidden="1" x14ac:dyDescent="0.25">
      <c r="A91" s="520"/>
      <c r="B91" s="520"/>
      <c r="C91" s="520"/>
      <c r="D91" s="520"/>
      <c r="E91" s="520"/>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row>
    <row r="92" spans="1:30" hidden="1" x14ac:dyDescent="0.25">
      <c r="A92" s="520"/>
      <c r="B92" s="520"/>
      <c r="C92" s="520"/>
      <c r="D92" s="520"/>
      <c r="E92" s="520"/>
      <c r="F92" s="520"/>
      <c r="G92" s="520"/>
      <c r="H92" s="520"/>
      <c r="I92" s="520"/>
      <c r="J92" s="520"/>
      <c r="K92" s="520"/>
      <c r="L92" s="520"/>
      <c r="M92" s="520"/>
      <c r="N92" s="520"/>
      <c r="O92" s="520"/>
      <c r="P92" s="520"/>
      <c r="Q92" s="520"/>
      <c r="R92" s="520"/>
      <c r="S92" s="520"/>
      <c r="T92" s="520"/>
      <c r="U92" s="520"/>
      <c r="V92" s="520"/>
      <c r="W92" s="520"/>
      <c r="X92" s="520"/>
      <c r="Y92" s="520"/>
      <c r="Z92" s="520"/>
      <c r="AA92" s="520"/>
      <c r="AB92" s="520"/>
      <c r="AC92" s="520"/>
      <c r="AD92" s="520"/>
    </row>
    <row r="93" spans="1:30" hidden="1" x14ac:dyDescent="0.25">
      <c r="A93" s="520"/>
      <c r="B93" s="520"/>
      <c r="C93" s="520"/>
      <c r="D93" s="520"/>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row>
    <row r="94" spans="1:30" hidden="1" x14ac:dyDescent="0.25">
      <c r="A94" s="520"/>
      <c r="B94" s="520"/>
      <c r="C94" s="520"/>
      <c r="D94" s="520"/>
      <c r="E94" s="520"/>
      <c r="F94" s="520"/>
      <c r="G94" s="520"/>
      <c r="H94" s="520"/>
      <c r="I94" s="520"/>
      <c r="J94" s="520"/>
      <c r="K94" s="520"/>
      <c r="L94" s="520"/>
      <c r="M94" s="520"/>
      <c r="N94" s="520"/>
      <c r="O94" s="520"/>
      <c r="P94" s="520"/>
      <c r="Q94" s="520"/>
      <c r="R94" s="520"/>
      <c r="S94" s="520"/>
      <c r="T94" s="520"/>
      <c r="U94" s="520"/>
      <c r="V94" s="520"/>
      <c r="W94" s="520"/>
      <c r="X94" s="520"/>
      <c r="Y94" s="520"/>
      <c r="Z94" s="520"/>
      <c r="AA94" s="520"/>
      <c r="AB94" s="520"/>
      <c r="AC94" s="520"/>
      <c r="AD94" s="520"/>
    </row>
  </sheetData>
  <sheetProtection algorithmName="SHA-512" hashValue="Mb2IFo/4jbyHSzVyJMyPzt5btdcJWs3VIMgLCfY1ikiwv4KPnLJcnTDn+poFGibYKU5q6WQoj1Wbmnk79+P2+A==" saltValue="KBc/93FoK3iOgEV94rljsA==" spinCount="100000" sheet="1" objects="1"/>
  <mergeCells count="24">
    <mergeCell ref="J28:R28"/>
    <mergeCell ref="B29:C29"/>
    <mergeCell ref="D29:H29"/>
    <mergeCell ref="D26:H26"/>
    <mergeCell ref="B27:C27"/>
    <mergeCell ref="D27:H27"/>
    <mergeCell ref="B28:C28"/>
    <mergeCell ref="D28:H28"/>
    <mergeCell ref="B21:C22"/>
    <mergeCell ref="D21:H22"/>
    <mergeCell ref="B23:C24"/>
    <mergeCell ref="D23:H24"/>
    <mergeCell ref="D25:H25"/>
    <mergeCell ref="B12:J12"/>
    <mergeCell ref="B14:B15"/>
    <mergeCell ref="C14:J15"/>
    <mergeCell ref="B17:H17"/>
    <mergeCell ref="B19:C20"/>
    <mergeCell ref="D19:H20"/>
    <mergeCell ref="D1:J5"/>
    <mergeCell ref="B6:J8"/>
    <mergeCell ref="B9:J10"/>
    <mergeCell ref="B11:E11"/>
    <mergeCell ref="F11:J11"/>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28515625" defaultRowHeight="15" zeroHeight="1" x14ac:dyDescent="0.25"/>
  <cols>
    <col min="1" max="1" width="8.7109375" style="520" customWidth="1"/>
    <col min="2" max="2" width="79.28515625" style="520" customWidth="1"/>
    <col min="3" max="3" width="24.28515625" style="520" customWidth="1"/>
    <col min="4" max="4" width="31.28515625" style="520" customWidth="1"/>
    <col min="5" max="5" width="114.5703125" style="520" customWidth="1"/>
    <col min="6" max="6" width="35.7109375" style="520" customWidth="1"/>
    <col min="7" max="11" width="17.7109375" style="520" customWidth="1"/>
    <col min="12" max="13" width="41.28515625" style="520" customWidth="1"/>
    <col min="14" max="14" width="96" style="520" customWidth="1"/>
    <col min="15" max="15" width="9.28515625" style="520" customWidth="1"/>
    <col min="16" max="19" width="9.28515625" style="520" hidden="1" customWidth="1"/>
    <col min="20" max="16380" width="14.42578125" style="520" hidden="1" customWidth="1"/>
    <col min="16381" max="16383" width="14.42578125" style="520" customWidth="1"/>
    <col min="16384" max="16384" width="9.28515625" style="520" customWidth="1"/>
  </cols>
  <sheetData>
    <row r="1" spans="2:14" x14ac:dyDescent="0.25">
      <c r="B1" s="46" t="s">
        <v>384</v>
      </c>
      <c r="C1" s="45"/>
      <c r="D1" s="45"/>
      <c r="E1" s="45"/>
      <c r="F1" s="45"/>
      <c r="G1" s="45"/>
      <c r="H1" s="45"/>
      <c r="I1" s="45"/>
      <c r="J1" s="45"/>
      <c r="K1" s="45"/>
      <c r="L1" s="45"/>
      <c r="M1" s="45"/>
      <c r="N1" s="44"/>
    </row>
    <row r="2" spans="2:14" ht="15" customHeight="1" x14ac:dyDescent="0.25">
      <c r="B2" s="43"/>
      <c r="C2" s="42"/>
      <c r="D2" s="42"/>
      <c r="E2" s="42"/>
      <c r="F2" s="42"/>
      <c r="G2" s="42"/>
      <c r="H2" s="42"/>
      <c r="I2" s="42"/>
      <c r="J2" s="42"/>
      <c r="K2" s="42"/>
      <c r="L2" s="42"/>
      <c r="M2" s="42"/>
      <c r="N2" s="41"/>
    </row>
    <row r="3" spans="2:14" ht="18" customHeight="1" x14ac:dyDescent="0.25">
      <c r="B3" s="40" t="s">
        <v>270</v>
      </c>
      <c r="C3" s="37" t="s">
        <v>385</v>
      </c>
      <c r="D3" s="36"/>
      <c r="E3" s="36"/>
      <c r="F3" s="35"/>
      <c r="G3" s="34" t="s">
        <v>386</v>
      </c>
      <c r="H3" s="33"/>
      <c r="I3" s="33"/>
      <c r="J3" s="33"/>
      <c r="K3" s="33"/>
      <c r="L3" s="33"/>
      <c r="M3" s="32"/>
      <c r="N3" s="31" t="s">
        <v>387</v>
      </c>
    </row>
    <row r="4" spans="2:14" ht="98.1" customHeight="1" x14ac:dyDescent="0.25">
      <c r="B4" s="39"/>
      <c r="C4" s="28" t="s">
        <v>388</v>
      </c>
      <c r="D4" s="26" t="s">
        <v>389</v>
      </c>
      <c r="E4" s="26" t="s">
        <v>390</v>
      </c>
      <c r="F4" s="24" t="s">
        <v>391</v>
      </c>
      <c r="G4" s="549" t="s">
        <v>392</v>
      </c>
      <c r="H4" s="700" t="s">
        <v>393</v>
      </c>
      <c r="I4" s="700" t="s">
        <v>394</v>
      </c>
      <c r="J4" s="700" t="s">
        <v>395</v>
      </c>
      <c r="K4" s="700" t="s">
        <v>396</v>
      </c>
      <c r="L4" s="22" t="s">
        <v>397</v>
      </c>
      <c r="M4" s="20" t="s">
        <v>398</v>
      </c>
      <c r="N4" s="30"/>
    </row>
    <row r="5" spans="2:14" ht="65.650000000000006" customHeight="1" x14ac:dyDescent="0.25">
      <c r="B5" s="38"/>
      <c r="C5" s="27"/>
      <c r="D5" s="25"/>
      <c r="E5" s="25"/>
      <c r="F5" s="23"/>
      <c r="G5" s="703" t="s">
        <v>126</v>
      </c>
      <c r="H5" s="702" t="s">
        <v>399</v>
      </c>
      <c r="I5" s="702" t="s">
        <v>400</v>
      </c>
      <c r="J5" s="702" t="s">
        <v>401</v>
      </c>
      <c r="K5" s="702" t="s">
        <v>402</v>
      </c>
      <c r="L5" s="21"/>
      <c r="M5" s="19"/>
      <c r="N5" s="29"/>
    </row>
    <row r="6" spans="2:14" ht="30" x14ac:dyDescent="0.25">
      <c r="B6" s="817" t="s">
        <v>308</v>
      </c>
      <c r="C6" s="815" t="s">
        <v>401</v>
      </c>
      <c r="D6" s="719" t="s">
        <v>401</v>
      </c>
      <c r="E6" s="820" t="s">
        <v>403</v>
      </c>
      <c r="F6" s="818" t="s">
        <v>401</v>
      </c>
      <c r="G6" s="704" t="s">
        <v>404</v>
      </c>
      <c r="H6" s="701" t="s">
        <v>404</v>
      </c>
      <c r="I6" s="701" t="s">
        <v>404</v>
      </c>
      <c r="J6" s="701">
        <v>1</v>
      </c>
      <c r="K6" s="503" t="s">
        <v>404</v>
      </c>
      <c r="L6" s="701" t="s">
        <v>404</v>
      </c>
      <c r="M6" s="705">
        <v>1</v>
      </c>
      <c r="N6" s="714" t="s">
        <v>403</v>
      </c>
    </row>
    <row r="7" spans="2:14" ht="30" x14ac:dyDescent="0.25">
      <c r="B7" s="711" t="s">
        <v>310</v>
      </c>
      <c r="C7" s="816" t="s">
        <v>401</v>
      </c>
      <c r="D7" s="505" t="s">
        <v>401</v>
      </c>
      <c r="E7" s="713" t="s">
        <v>403</v>
      </c>
      <c r="F7" s="818" t="s">
        <v>401</v>
      </c>
      <c r="G7" s="706" t="s">
        <v>404</v>
      </c>
      <c r="H7" s="503" t="s">
        <v>404</v>
      </c>
      <c r="I7" s="503" t="s">
        <v>404</v>
      </c>
      <c r="J7" s="503">
        <v>1</v>
      </c>
      <c r="K7" s="503" t="s">
        <v>404</v>
      </c>
      <c r="L7" s="503" t="s">
        <v>404</v>
      </c>
      <c r="M7" s="707">
        <v>1</v>
      </c>
      <c r="N7" s="715" t="s">
        <v>403</v>
      </c>
    </row>
    <row r="8" spans="2:14" ht="30" x14ac:dyDescent="0.25">
      <c r="B8" s="711" t="s">
        <v>311</v>
      </c>
      <c r="C8" s="816" t="s">
        <v>401</v>
      </c>
      <c r="D8" s="505" t="s">
        <v>401</v>
      </c>
      <c r="E8" s="713" t="s">
        <v>403</v>
      </c>
      <c r="F8" s="818" t="s">
        <v>401</v>
      </c>
      <c r="G8" s="706" t="s">
        <v>404</v>
      </c>
      <c r="H8" s="503" t="s">
        <v>404</v>
      </c>
      <c r="I8" s="503" t="s">
        <v>404</v>
      </c>
      <c r="J8" s="503">
        <v>1</v>
      </c>
      <c r="K8" s="503" t="s">
        <v>404</v>
      </c>
      <c r="L8" s="503" t="s">
        <v>404</v>
      </c>
      <c r="M8" s="707">
        <v>1</v>
      </c>
      <c r="N8" s="715" t="s">
        <v>403</v>
      </c>
    </row>
    <row r="9" spans="2:14" ht="30" x14ac:dyDescent="0.25">
      <c r="B9" s="711" t="s">
        <v>312</v>
      </c>
      <c r="C9" s="816" t="s">
        <v>401</v>
      </c>
      <c r="D9" s="505" t="s">
        <v>401</v>
      </c>
      <c r="E9" s="713" t="s">
        <v>403</v>
      </c>
      <c r="F9" s="818" t="s">
        <v>401</v>
      </c>
      <c r="G9" s="706" t="s">
        <v>404</v>
      </c>
      <c r="H9" s="503" t="s">
        <v>404</v>
      </c>
      <c r="I9" s="503" t="s">
        <v>404</v>
      </c>
      <c r="J9" s="503">
        <v>1</v>
      </c>
      <c r="K9" s="503" t="s">
        <v>404</v>
      </c>
      <c r="L9" s="503" t="s">
        <v>404</v>
      </c>
      <c r="M9" s="707">
        <v>1</v>
      </c>
      <c r="N9" s="715" t="s">
        <v>403</v>
      </c>
    </row>
    <row r="10" spans="2:14" ht="28.9" customHeight="1" x14ac:dyDescent="0.25">
      <c r="B10" s="711" t="s">
        <v>313</v>
      </c>
      <c r="C10" s="816" t="s">
        <v>401</v>
      </c>
      <c r="D10" s="505" t="s">
        <v>401</v>
      </c>
      <c r="E10" s="713" t="s">
        <v>405</v>
      </c>
      <c r="F10" s="718" t="s">
        <v>404</v>
      </c>
      <c r="G10" s="706" t="s">
        <v>404</v>
      </c>
      <c r="H10" s="503" t="s">
        <v>404</v>
      </c>
      <c r="I10" s="503" t="s">
        <v>404</v>
      </c>
      <c r="J10" s="503">
        <v>1</v>
      </c>
      <c r="K10" s="503" t="s">
        <v>404</v>
      </c>
      <c r="L10" s="503" t="s">
        <v>404</v>
      </c>
      <c r="M10" s="707" t="s">
        <v>404</v>
      </c>
      <c r="N10" s="715" t="s">
        <v>406</v>
      </c>
    </row>
    <row r="11" spans="2:14" ht="30" x14ac:dyDescent="0.25">
      <c r="B11" s="711" t="s">
        <v>315</v>
      </c>
      <c r="C11" s="816" t="s">
        <v>401</v>
      </c>
      <c r="D11" s="505" t="s">
        <v>401</v>
      </c>
      <c r="E11" s="713" t="s">
        <v>403</v>
      </c>
      <c r="F11" s="818" t="s">
        <v>401</v>
      </c>
      <c r="G11" s="706" t="s">
        <v>404</v>
      </c>
      <c r="H11" s="503" t="s">
        <v>404</v>
      </c>
      <c r="I11" s="503" t="s">
        <v>404</v>
      </c>
      <c r="J11" s="503">
        <v>1</v>
      </c>
      <c r="K11" s="503" t="s">
        <v>404</v>
      </c>
      <c r="L11" s="503" t="s">
        <v>404</v>
      </c>
      <c r="M11" s="707" t="s">
        <v>404</v>
      </c>
      <c r="N11" s="715" t="s">
        <v>403</v>
      </c>
    </row>
    <row r="12" spans="2:14" ht="28.9" customHeight="1" x14ac:dyDescent="0.25">
      <c r="B12" s="711" t="s">
        <v>316</v>
      </c>
      <c r="C12" s="816" t="s">
        <v>401</v>
      </c>
      <c r="D12" s="505" t="s">
        <v>401</v>
      </c>
      <c r="E12" s="713" t="s">
        <v>405</v>
      </c>
      <c r="F12" s="718" t="s">
        <v>404</v>
      </c>
      <c r="G12" s="706" t="s">
        <v>404</v>
      </c>
      <c r="H12" s="503" t="s">
        <v>404</v>
      </c>
      <c r="I12" s="503" t="s">
        <v>404</v>
      </c>
      <c r="J12" s="503">
        <v>1</v>
      </c>
      <c r="K12" s="503" t="s">
        <v>404</v>
      </c>
      <c r="L12" s="503" t="s">
        <v>404</v>
      </c>
      <c r="M12" s="707" t="s">
        <v>404</v>
      </c>
      <c r="N12" s="715" t="s">
        <v>406</v>
      </c>
    </row>
    <row r="13" spans="2:14" ht="28.9" customHeight="1" x14ac:dyDescent="0.25">
      <c r="B13" s="711" t="s">
        <v>317</v>
      </c>
      <c r="C13" s="816" t="s">
        <v>401</v>
      </c>
      <c r="D13" s="505" t="s">
        <v>401</v>
      </c>
      <c r="E13" s="713" t="s">
        <v>405</v>
      </c>
      <c r="F13" s="718" t="s">
        <v>404</v>
      </c>
      <c r="G13" s="706" t="s">
        <v>404</v>
      </c>
      <c r="H13" s="503" t="s">
        <v>404</v>
      </c>
      <c r="I13" s="503" t="s">
        <v>404</v>
      </c>
      <c r="J13" s="503">
        <v>1</v>
      </c>
      <c r="K13" s="503" t="s">
        <v>404</v>
      </c>
      <c r="L13" s="503" t="s">
        <v>404</v>
      </c>
      <c r="M13" s="707" t="s">
        <v>404</v>
      </c>
      <c r="N13" s="715" t="s">
        <v>406</v>
      </c>
    </row>
    <row r="14" spans="2:14" ht="28.9" customHeight="1" x14ac:dyDescent="0.25">
      <c r="B14" s="711" t="s">
        <v>318</v>
      </c>
      <c r="C14" s="816" t="s">
        <v>401</v>
      </c>
      <c r="D14" s="505" t="s">
        <v>401</v>
      </c>
      <c r="E14" s="713" t="s">
        <v>405</v>
      </c>
      <c r="F14" s="718" t="s">
        <v>404</v>
      </c>
      <c r="G14" s="706" t="s">
        <v>404</v>
      </c>
      <c r="H14" s="503" t="s">
        <v>404</v>
      </c>
      <c r="I14" s="503" t="s">
        <v>404</v>
      </c>
      <c r="J14" s="503">
        <v>1</v>
      </c>
      <c r="K14" s="503" t="s">
        <v>404</v>
      </c>
      <c r="L14" s="503" t="s">
        <v>404</v>
      </c>
      <c r="M14" s="707" t="s">
        <v>404</v>
      </c>
      <c r="N14" s="715" t="s">
        <v>406</v>
      </c>
    </row>
    <row r="15" spans="2:14" ht="30" x14ac:dyDescent="0.25">
      <c r="B15" s="711" t="s">
        <v>319</v>
      </c>
      <c r="C15" s="816" t="s">
        <v>401</v>
      </c>
      <c r="D15" s="505" t="s">
        <v>401</v>
      </c>
      <c r="E15" s="713" t="s">
        <v>407</v>
      </c>
      <c r="F15" s="718" t="s">
        <v>404</v>
      </c>
      <c r="G15" s="706" t="s">
        <v>404</v>
      </c>
      <c r="H15" s="503" t="s">
        <v>404</v>
      </c>
      <c r="I15" s="503" t="s">
        <v>404</v>
      </c>
      <c r="J15" s="503">
        <v>1</v>
      </c>
      <c r="K15" s="503" t="s">
        <v>404</v>
      </c>
      <c r="L15" s="503" t="s">
        <v>404</v>
      </c>
      <c r="M15" s="707" t="s">
        <v>404</v>
      </c>
      <c r="N15" s="715" t="s">
        <v>408</v>
      </c>
    </row>
    <row r="16" spans="2:14" ht="30" x14ac:dyDescent="0.25">
      <c r="B16" s="711" t="s">
        <v>320</v>
      </c>
      <c r="C16" s="816" t="s">
        <v>401</v>
      </c>
      <c r="D16" s="505" t="s">
        <v>401</v>
      </c>
      <c r="E16" s="713" t="s">
        <v>407</v>
      </c>
      <c r="F16" s="718" t="s">
        <v>404</v>
      </c>
      <c r="G16" s="706" t="s">
        <v>404</v>
      </c>
      <c r="H16" s="503" t="s">
        <v>404</v>
      </c>
      <c r="I16" s="503" t="s">
        <v>404</v>
      </c>
      <c r="J16" s="503">
        <v>1</v>
      </c>
      <c r="K16" s="503" t="s">
        <v>404</v>
      </c>
      <c r="L16" s="503" t="s">
        <v>404</v>
      </c>
      <c r="M16" s="707" t="s">
        <v>404</v>
      </c>
      <c r="N16" s="715" t="s">
        <v>408</v>
      </c>
    </row>
    <row r="17" spans="2:14" x14ac:dyDescent="0.25">
      <c r="B17" s="711" t="s">
        <v>321</v>
      </c>
      <c r="C17" s="706" t="s">
        <v>126</v>
      </c>
      <c r="D17" s="503" t="s">
        <v>409</v>
      </c>
      <c r="E17" s="707" t="s">
        <v>410</v>
      </c>
      <c r="F17" s="718" t="s">
        <v>399</v>
      </c>
      <c r="G17" s="706">
        <v>4</v>
      </c>
      <c r="H17" s="503">
        <v>7</v>
      </c>
      <c r="I17" s="503" t="s">
        <v>404</v>
      </c>
      <c r="J17" s="503" t="s">
        <v>404</v>
      </c>
      <c r="K17" s="503" t="s">
        <v>404</v>
      </c>
      <c r="L17" s="503">
        <v>10</v>
      </c>
      <c r="M17" s="707">
        <v>15</v>
      </c>
      <c r="N17" s="715" t="s">
        <v>411</v>
      </c>
    </row>
    <row r="18" spans="2:14" x14ac:dyDescent="0.25">
      <c r="B18" s="711" t="s">
        <v>322</v>
      </c>
      <c r="C18" s="706" t="s">
        <v>126</v>
      </c>
      <c r="D18" s="503" t="s">
        <v>409</v>
      </c>
      <c r="E18" s="707" t="s">
        <v>322</v>
      </c>
      <c r="F18" s="718" t="s">
        <v>399</v>
      </c>
      <c r="G18" s="706">
        <v>10</v>
      </c>
      <c r="H18" s="503">
        <v>15</v>
      </c>
      <c r="I18" s="503" t="s">
        <v>404</v>
      </c>
      <c r="J18" s="503" t="s">
        <v>404</v>
      </c>
      <c r="K18" s="503" t="s">
        <v>404</v>
      </c>
      <c r="L18" s="503">
        <v>10</v>
      </c>
      <c r="M18" s="707">
        <v>15</v>
      </c>
      <c r="N18" s="715" t="s">
        <v>412</v>
      </c>
    </row>
    <row r="19" spans="2:14" x14ac:dyDescent="0.25">
      <c r="B19" s="711" t="s">
        <v>323</v>
      </c>
      <c r="C19" s="706" t="s">
        <v>126</v>
      </c>
      <c r="D19" s="503" t="s">
        <v>409</v>
      </c>
      <c r="E19" s="707" t="s">
        <v>323</v>
      </c>
      <c r="F19" s="718" t="s">
        <v>399</v>
      </c>
      <c r="G19" s="706">
        <v>5</v>
      </c>
      <c r="H19" s="503">
        <v>10</v>
      </c>
      <c r="I19" s="503" t="s">
        <v>404</v>
      </c>
      <c r="J19" s="503" t="s">
        <v>404</v>
      </c>
      <c r="K19" s="503" t="s">
        <v>404</v>
      </c>
      <c r="L19" s="503">
        <v>10</v>
      </c>
      <c r="M19" s="707">
        <v>15</v>
      </c>
      <c r="N19" s="715" t="s">
        <v>412</v>
      </c>
    </row>
    <row r="20" spans="2:14" x14ac:dyDescent="0.25">
      <c r="B20" s="711" t="s">
        <v>324</v>
      </c>
      <c r="C20" s="706" t="s">
        <v>126</v>
      </c>
      <c r="D20" s="503" t="s">
        <v>409</v>
      </c>
      <c r="E20" s="707" t="s">
        <v>324</v>
      </c>
      <c r="F20" s="718" t="s">
        <v>399</v>
      </c>
      <c r="G20" s="706">
        <v>10</v>
      </c>
      <c r="H20" s="503">
        <v>15</v>
      </c>
      <c r="I20" s="503" t="s">
        <v>404</v>
      </c>
      <c r="J20" s="503" t="s">
        <v>404</v>
      </c>
      <c r="K20" s="503" t="s">
        <v>404</v>
      </c>
      <c r="L20" s="503">
        <v>10</v>
      </c>
      <c r="M20" s="707">
        <v>15</v>
      </c>
      <c r="N20" s="715" t="s">
        <v>412</v>
      </c>
    </row>
    <row r="21" spans="2:14" x14ac:dyDescent="0.25">
      <c r="B21" s="711" t="s">
        <v>325</v>
      </c>
      <c r="C21" s="706" t="s">
        <v>126</v>
      </c>
      <c r="D21" s="503" t="s">
        <v>409</v>
      </c>
      <c r="E21" s="707" t="s">
        <v>325</v>
      </c>
      <c r="F21" s="718" t="s">
        <v>399</v>
      </c>
      <c r="G21" s="706">
        <v>5</v>
      </c>
      <c r="H21" s="503">
        <v>10</v>
      </c>
      <c r="I21" s="503" t="s">
        <v>404</v>
      </c>
      <c r="J21" s="503" t="s">
        <v>404</v>
      </c>
      <c r="K21" s="503" t="s">
        <v>404</v>
      </c>
      <c r="L21" s="503">
        <v>3</v>
      </c>
      <c r="M21" s="707">
        <v>10</v>
      </c>
      <c r="N21" s="715" t="s">
        <v>412</v>
      </c>
    </row>
    <row r="22" spans="2:14" ht="28.9" customHeight="1" x14ac:dyDescent="0.25">
      <c r="B22" s="711" t="s">
        <v>326</v>
      </c>
      <c r="C22" s="816" t="s">
        <v>401</v>
      </c>
      <c r="D22" s="505" t="s">
        <v>401</v>
      </c>
      <c r="E22" s="707" t="s">
        <v>413</v>
      </c>
      <c r="F22" s="718" t="s">
        <v>404</v>
      </c>
      <c r="G22" s="706" t="s">
        <v>404</v>
      </c>
      <c r="H22" s="503" t="s">
        <v>404</v>
      </c>
      <c r="I22" s="503" t="s">
        <v>404</v>
      </c>
      <c r="J22" s="503">
        <v>1</v>
      </c>
      <c r="K22" s="503" t="s">
        <v>404</v>
      </c>
      <c r="L22" s="503" t="s">
        <v>404</v>
      </c>
      <c r="M22" s="707" t="s">
        <v>404</v>
      </c>
      <c r="N22" s="715" t="s">
        <v>414</v>
      </c>
    </row>
    <row r="23" spans="2:14" x14ac:dyDescent="0.25">
      <c r="B23" s="711" t="s">
        <v>327</v>
      </c>
      <c r="C23" s="706" t="s">
        <v>126</v>
      </c>
      <c r="D23" s="503" t="s">
        <v>409</v>
      </c>
      <c r="E23" s="707" t="s">
        <v>327</v>
      </c>
      <c r="F23" s="718" t="s">
        <v>399</v>
      </c>
      <c r="G23" s="706">
        <v>5</v>
      </c>
      <c r="H23" s="503">
        <v>10</v>
      </c>
      <c r="I23" s="503" t="s">
        <v>404</v>
      </c>
      <c r="J23" s="503" t="s">
        <v>404</v>
      </c>
      <c r="K23" s="503" t="s">
        <v>404</v>
      </c>
      <c r="L23" s="503">
        <v>3</v>
      </c>
      <c r="M23" s="707">
        <v>10</v>
      </c>
      <c r="N23" s="715" t="s">
        <v>412</v>
      </c>
    </row>
    <row r="24" spans="2:14" x14ac:dyDescent="0.25">
      <c r="B24" s="711" t="s">
        <v>328</v>
      </c>
      <c r="C24" s="706" t="s">
        <v>126</v>
      </c>
      <c r="D24" s="503" t="s">
        <v>409</v>
      </c>
      <c r="E24" s="707" t="s">
        <v>328</v>
      </c>
      <c r="F24" s="718" t="s">
        <v>399</v>
      </c>
      <c r="G24" s="706">
        <v>5</v>
      </c>
      <c r="H24" s="503">
        <v>10</v>
      </c>
      <c r="I24" s="503" t="s">
        <v>404</v>
      </c>
      <c r="J24" s="503" t="s">
        <v>404</v>
      </c>
      <c r="K24" s="503" t="s">
        <v>404</v>
      </c>
      <c r="L24" s="503">
        <v>3</v>
      </c>
      <c r="M24" s="707">
        <v>10</v>
      </c>
      <c r="N24" s="715" t="s">
        <v>412</v>
      </c>
    </row>
    <row r="25" spans="2:14" x14ac:dyDescent="0.25">
      <c r="B25" s="711" t="s">
        <v>329</v>
      </c>
      <c r="C25" s="706" t="s">
        <v>126</v>
      </c>
      <c r="D25" s="503" t="s">
        <v>409</v>
      </c>
      <c r="E25" s="707" t="s">
        <v>329</v>
      </c>
      <c r="F25" s="718" t="s">
        <v>399</v>
      </c>
      <c r="G25" s="706">
        <v>10</v>
      </c>
      <c r="H25" s="503">
        <v>15</v>
      </c>
      <c r="I25" s="503" t="s">
        <v>404</v>
      </c>
      <c r="J25" s="503" t="s">
        <v>404</v>
      </c>
      <c r="K25" s="503" t="s">
        <v>404</v>
      </c>
      <c r="L25" s="503">
        <v>7</v>
      </c>
      <c r="M25" s="707">
        <v>15</v>
      </c>
      <c r="N25" s="715" t="s">
        <v>412</v>
      </c>
    </row>
    <row r="26" spans="2:14" x14ac:dyDescent="0.25">
      <c r="B26" s="711" t="s">
        <v>330</v>
      </c>
      <c r="C26" s="706" t="s">
        <v>126</v>
      </c>
      <c r="D26" s="503" t="s">
        <v>409</v>
      </c>
      <c r="E26" s="707" t="s">
        <v>330</v>
      </c>
      <c r="F26" s="718" t="s">
        <v>399</v>
      </c>
      <c r="G26" s="706">
        <v>5</v>
      </c>
      <c r="H26" s="503">
        <v>10</v>
      </c>
      <c r="I26" s="503" t="s">
        <v>404</v>
      </c>
      <c r="J26" s="503" t="s">
        <v>404</v>
      </c>
      <c r="K26" s="503" t="s">
        <v>404</v>
      </c>
      <c r="L26" s="503">
        <v>3</v>
      </c>
      <c r="M26" s="707">
        <v>10</v>
      </c>
      <c r="N26" s="715" t="s">
        <v>412</v>
      </c>
    </row>
    <row r="27" spans="2:14" ht="28.9" customHeight="1" x14ac:dyDescent="0.25">
      <c r="B27" s="711" t="s">
        <v>331</v>
      </c>
      <c r="C27" s="816" t="s">
        <v>401</v>
      </c>
      <c r="D27" s="505" t="s">
        <v>401</v>
      </c>
      <c r="E27" s="707" t="s">
        <v>413</v>
      </c>
      <c r="F27" s="718" t="s">
        <v>404</v>
      </c>
      <c r="G27" s="706" t="s">
        <v>404</v>
      </c>
      <c r="H27" s="503" t="s">
        <v>404</v>
      </c>
      <c r="I27" s="503" t="s">
        <v>404</v>
      </c>
      <c r="J27" s="503">
        <v>1</v>
      </c>
      <c r="K27" s="503" t="s">
        <v>404</v>
      </c>
      <c r="L27" s="503" t="s">
        <v>404</v>
      </c>
      <c r="M27" s="707" t="s">
        <v>404</v>
      </c>
      <c r="N27" s="715" t="s">
        <v>414</v>
      </c>
    </row>
    <row r="28" spans="2:14" ht="28.9" customHeight="1" x14ac:dyDescent="0.25">
      <c r="B28" s="711" t="s">
        <v>332</v>
      </c>
      <c r="C28" s="816" t="s">
        <v>401</v>
      </c>
      <c r="D28" s="505" t="s">
        <v>401</v>
      </c>
      <c r="E28" s="707" t="s">
        <v>413</v>
      </c>
      <c r="F28" s="718" t="s">
        <v>404</v>
      </c>
      <c r="G28" s="706" t="s">
        <v>404</v>
      </c>
      <c r="H28" s="503" t="s">
        <v>404</v>
      </c>
      <c r="I28" s="503" t="s">
        <v>404</v>
      </c>
      <c r="J28" s="503">
        <v>1</v>
      </c>
      <c r="K28" s="503" t="s">
        <v>404</v>
      </c>
      <c r="L28" s="503" t="s">
        <v>404</v>
      </c>
      <c r="M28" s="707" t="s">
        <v>404</v>
      </c>
      <c r="N28" s="715" t="s">
        <v>414</v>
      </c>
    </row>
    <row r="29" spans="2:14" x14ac:dyDescent="0.25">
      <c r="B29" s="711" t="s">
        <v>333</v>
      </c>
      <c r="C29" s="706" t="s">
        <v>126</v>
      </c>
      <c r="D29" s="503" t="s">
        <v>409</v>
      </c>
      <c r="E29" s="707" t="s">
        <v>333</v>
      </c>
      <c r="F29" s="718" t="s">
        <v>399</v>
      </c>
      <c r="G29" s="706">
        <v>10</v>
      </c>
      <c r="H29" s="503">
        <v>15</v>
      </c>
      <c r="I29" s="503" t="s">
        <v>404</v>
      </c>
      <c r="J29" s="503" t="s">
        <v>404</v>
      </c>
      <c r="K29" s="503" t="s">
        <v>404</v>
      </c>
      <c r="L29" s="503">
        <v>7</v>
      </c>
      <c r="M29" s="707">
        <v>15</v>
      </c>
      <c r="N29" s="715" t="s">
        <v>412</v>
      </c>
    </row>
    <row r="30" spans="2:14" x14ac:dyDescent="0.25">
      <c r="B30" s="711" t="s">
        <v>334</v>
      </c>
      <c r="C30" s="706" t="s">
        <v>126</v>
      </c>
      <c r="D30" s="503" t="s">
        <v>409</v>
      </c>
      <c r="E30" s="707" t="s">
        <v>415</v>
      </c>
      <c r="F30" s="718" t="s">
        <v>399</v>
      </c>
      <c r="G30" s="706">
        <v>3</v>
      </c>
      <c r="H30" s="503">
        <v>5</v>
      </c>
      <c r="I30" s="503" t="s">
        <v>404</v>
      </c>
      <c r="J30" s="503" t="s">
        <v>404</v>
      </c>
      <c r="K30" s="503" t="s">
        <v>404</v>
      </c>
      <c r="L30" s="503">
        <v>4</v>
      </c>
      <c r="M30" s="707">
        <v>5</v>
      </c>
      <c r="N30" s="715" t="s">
        <v>416</v>
      </c>
    </row>
    <row r="31" spans="2:14" x14ac:dyDescent="0.25">
      <c r="B31" s="711" t="s">
        <v>336</v>
      </c>
      <c r="C31" s="706" t="s">
        <v>126</v>
      </c>
      <c r="D31" s="503" t="s">
        <v>409</v>
      </c>
      <c r="E31" s="707" t="s">
        <v>336</v>
      </c>
      <c r="F31" s="718" t="s">
        <v>399</v>
      </c>
      <c r="G31" s="706">
        <v>3</v>
      </c>
      <c r="H31" s="503">
        <v>5</v>
      </c>
      <c r="I31" s="503" t="s">
        <v>404</v>
      </c>
      <c r="J31" s="503" t="s">
        <v>404</v>
      </c>
      <c r="K31" s="503" t="s">
        <v>404</v>
      </c>
      <c r="L31" s="503">
        <v>4</v>
      </c>
      <c r="M31" s="707">
        <v>5</v>
      </c>
      <c r="N31" s="715" t="s">
        <v>412</v>
      </c>
    </row>
    <row r="32" spans="2:14" x14ac:dyDescent="0.25">
      <c r="B32" s="711" t="s">
        <v>337</v>
      </c>
      <c r="C32" s="706" t="s">
        <v>126</v>
      </c>
      <c r="D32" s="503" t="s">
        <v>409</v>
      </c>
      <c r="E32" s="707" t="s">
        <v>337</v>
      </c>
      <c r="F32" s="718" t="s">
        <v>399</v>
      </c>
      <c r="G32" s="706">
        <v>5</v>
      </c>
      <c r="H32" s="503">
        <v>10</v>
      </c>
      <c r="I32" s="503" t="s">
        <v>404</v>
      </c>
      <c r="J32" s="503" t="s">
        <v>404</v>
      </c>
      <c r="K32" s="503" t="s">
        <v>404</v>
      </c>
      <c r="L32" s="503">
        <v>20</v>
      </c>
      <c r="M32" s="707">
        <v>10</v>
      </c>
      <c r="N32" s="715" t="s">
        <v>412</v>
      </c>
    </row>
    <row r="33" spans="2:14" x14ac:dyDescent="0.25">
      <c r="B33" s="711" t="s">
        <v>338</v>
      </c>
      <c r="C33" s="706" t="s">
        <v>126</v>
      </c>
      <c r="D33" s="503" t="s">
        <v>409</v>
      </c>
      <c r="E33" s="707" t="s">
        <v>338</v>
      </c>
      <c r="F33" s="718" t="s">
        <v>399</v>
      </c>
      <c r="G33" s="706">
        <v>3</v>
      </c>
      <c r="H33" s="503">
        <v>5</v>
      </c>
      <c r="I33" s="503" t="s">
        <v>404</v>
      </c>
      <c r="J33" s="503" t="s">
        <v>404</v>
      </c>
      <c r="K33" s="503" t="s">
        <v>404</v>
      </c>
      <c r="L33" s="503">
        <v>2</v>
      </c>
      <c r="M33" s="707" t="s">
        <v>404</v>
      </c>
      <c r="N33" s="715" t="s">
        <v>412</v>
      </c>
    </row>
    <row r="34" spans="2:14" x14ac:dyDescent="0.25">
      <c r="B34" s="711" t="s">
        <v>339</v>
      </c>
      <c r="C34" s="706" t="s">
        <v>126</v>
      </c>
      <c r="D34" s="503" t="s">
        <v>409</v>
      </c>
      <c r="E34" s="707" t="s">
        <v>339</v>
      </c>
      <c r="F34" s="718" t="s">
        <v>399</v>
      </c>
      <c r="G34" s="706">
        <v>10</v>
      </c>
      <c r="H34" s="503">
        <v>20</v>
      </c>
      <c r="I34" s="503" t="s">
        <v>404</v>
      </c>
      <c r="J34" s="503" t="s">
        <v>404</v>
      </c>
      <c r="K34" s="503" t="s">
        <v>404</v>
      </c>
      <c r="L34" s="503">
        <v>10</v>
      </c>
      <c r="M34" s="707">
        <v>20</v>
      </c>
      <c r="N34" s="715" t="s">
        <v>412</v>
      </c>
    </row>
    <row r="35" spans="2:14" x14ac:dyDescent="0.25">
      <c r="B35" s="711" t="s">
        <v>340</v>
      </c>
      <c r="C35" s="706" t="s">
        <v>126</v>
      </c>
      <c r="D35" s="503" t="s">
        <v>409</v>
      </c>
      <c r="E35" s="711" t="s">
        <v>340</v>
      </c>
      <c r="F35" s="718" t="s">
        <v>399</v>
      </c>
      <c r="G35" s="706">
        <v>3</v>
      </c>
      <c r="H35" s="503">
        <v>5</v>
      </c>
      <c r="I35" s="503" t="s">
        <v>404</v>
      </c>
      <c r="J35" s="503" t="s">
        <v>404</v>
      </c>
      <c r="K35" s="503" t="s">
        <v>404</v>
      </c>
      <c r="L35" s="503">
        <v>2</v>
      </c>
      <c r="M35" s="707" t="s">
        <v>404</v>
      </c>
      <c r="N35" s="715" t="s">
        <v>412</v>
      </c>
    </row>
    <row r="36" spans="2:14" x14ac:dyDescent="0.25">
      <c r="B36" s="711" t="s">
        <v>341</v>
      </c>
      <c r="C36" s="706" t="s">
        <v>126</v>
      </c>
      <c r="D36" s="503" t="s">
        <v>409</v>
      </c>
      <c r="E36" s="707" t="s">
        <v>341</v>
      </c>
      <c r="F36" s="718" t="s">
        <v>399</v>
      </c>
      <c r="G36" s="706">
        <v>1</v>
      </c>
      <c r="H36" s="503">
        <v>1</v>
      </c>
      <c r="I36" s="503" t="s">
        <v>404</v>
      </c>
      <c r="J36" s="503" t="s">
        <v>404</v>
      </c>
      <c r="K36" s="503" t="s">
        <v>404</v>
      </c>
      <c r="L36" s="503">
        <v>1</v>
      </c>
      <c r="M36" s="707">
        <v>1</v>
      </c>
      <c r="N36" s="715" t="s">
        <v>412</v>
      </c>
    </row>
    <row r="37" spans="2:14" x14ac:dyDescent="0.25">
      <c r="B37" s="711" t="s">
        <v>342</v>
      </c>
      <c r="C37" s="706" t="s">
        <v>402</v>
      </c>
      <c r="D37" s="503" t="s">
        <v>402</v>
      </c>
      <c r="E37" s="713" t="s">
        <v>403</v>
      </c>
      <c r="F37" s="718" t="s">
        <v>404</v>
      </c>
      <c r="G37" s="706" t="s">
        <v>404</v>
      </c>
      <c r="H37" s="503" t="s">
        <v>404</v>
      </c>
      <c r="I37" s="503" t="s">
        <v>404</v>
      </c>
      <c r="J37" s="503" t="s">
        <v>404</v>
      </c>
      <c r="K37" s="503">
        <v>0</v>
      </c>
      <c r="L37" s="503" t="s">
        <v>404</v>
      </c>
      <c r="M37" s="707" t="s">
        <v>404</v>
      </c>
      <c r="N37" s="715" t="s">
        <v>403</v>
      </c>
    </row>
    <row r="38" spans="2:14" x14ac:dyDescent="0.25">
      <c r="B38" s="711" t="s">
        <v>345</v>
      </c>
      <c r="C38" s="706" t="s">
        <v>126</v>
      </c>
      <c r="D38" s="503" t="s">
        <v>409</v>
      </c>
      <c r="E38" s="707" t="s">
        <v>345</v>
      </c>
      <c r="F38" s="718" t="s">
        <v>399</v>
      </c>
      <c r="G38" s="706">
        <v>1</v>
      </c>
      <c r="H38" s="503">
        <v>3</v>
      </c>
      <c r="I38" s="503" t="s">
        <v>404</v>
      </c>
      <c r="J38" s="503" t="s">
        <v>404</v>
      </c>
      <c r="K38" s="503" t="s">
        <v>404</v>
      </c>
      <c r="L38" s="503">
        <v>2</v>
      </c>
      <c r="M38" s="707">
        <v>3</v>
      </c>
      <c r="N38" s="715" t="s">
        <v>412</v>
      </c>
    </row>
    <row r="39" spans="2:14" x14ac:dyDescent="0.25">
      <c r="B39" s="711" t="s">
        <v>346</v>
      </c>
      <c r="C39" s="706" t="s">
        <v>126</v>
      </c>
      <c r="D39" s="503" t="s">
        <v>409</v>
      </c>
      <c r="E39" s="707" t="s">
        <v>346</v>
      </c>
      <c r="F39" s="718" t="s">
        <v>399</v>
      </c>
      <c r="G39" s="706">
        <v>5</v>
      </c>
      <c r="H39" s="503">
        <v>10</v>
      </c>
      <c r="I39" s="503" t="s">
        <v>404</v>
      </c>
      <c r="J39" s="503" t="s">
        <v>404</v>
      </c>
      <c r="K39" s="503" t="s">
        <v>404</v>
      </c>
      <c r="L39" s="503">
        <v>5</v>
      </c>
      <c r="M39" s="707">
        <v>10</v>
      </c>
      <c r="N39" s="715" t="s">
        <v>412</v>
      </c>
    </row>
    <row r="40" spans="2:14" x14ac:dyDescent="0.25">
      <c r="B40" s="711" t="s">
        <v>347</v>
      </c>
      <c r="C40" s="706" t="s">
        <v>402</v>
      </c>
      <c r="D40" s="503" t="s">
        <v>402</v>
      </c>
      <c r="E40" s="713" t="s">
        <v>403</v>
      </c>
      <c r="F40" s="718" t="s">
        <v>404</v>
      </c>
      <c r="G40" s="706" t="s">
        <v>404</v>
      </c>
      <c r="H40" s="503" t="s">
        <v>404</v>
      </c>
      <c r="I40" s="503" t="s">
        <v>404</v>
      </c>
      <c r="J40" s="503" t="s">
        <v>404</v>
      </c>
      <c r="K40" s="503">
        <v>0</v>
      </c>
      <c r="L40" s="503" t="s">
        <v>404</v>
      </c>
      <c r="M40" s="707" t="s">
        <v>404</v>
      </c>
      <c r="N40" s="715" t="s">
        <v>403</v>
      </c>
    </row>
    <row r="41" spans="2:14" x14ac:dyDescent="0.25">
      <c r="B41" s="711" t="s">
        <v>348</v>
      </c>
      <c r="C41" s="706" t="s">
        <v>126</v>
      </c>
      <c r="D41" s="503" t="s">
        <v>409</v>
      </c>
      <c r="E41" s="707" t="s">
        <v>348</v>
      </c>
      <c r="F41" s="718" t="s">
        <v>399</v>
      </c>
      <c r="G41" s="706">
        <v>15</v>
      </c>
      <c r="H41" s="503">
        <v>20</v>
      </c>
      <c r="I41" s="503" t="s">
        <v>404</v>
      </c>
      <c r="J41" s="503" t="s">
        <v>404</v>
      </c>
      <c r="K41" s="503" t="s">
        <v>404</v>
      </c>
      <c r="L41" s="503">
        <v>15</v>
      </c>
      <c r="M41" s="707">
        <v>20</v>
      </c>
      <c r="N41" s="715" t="s">
        <v>412</v>
      </c>
    </row>
    <row r="42" spans="2:14" x14ac:dyDescent="0.25">
      <c r="B42" s="711" t="s">
        <v>349</v>
      </c>
      <c r="C42" s="706" t="s">
        <v>402</v>
      </c>
      <c r="D42" s="503" t="s">
        <v>402</v>
      </c>
      <c r="E42" s="713" t="s">
        <v>403</v>
      </c>
      <c r="F42" s="718" t="s">
        <v>404</v>
      </c>
      <c r="G42" s="706" t="s">
        <v>404</v>
      </c>
      <c r="H42" s="503" t="s">
        <v>404</v>
      </c>
      <c r="I42" s="503" t="s">
        <v>404</v>
      </c>
      <c r="J42" s="503" t="s">
        <v>404</v>
      </c>
      <c r="K42" s="503">
        <v>0</v>
      </c>
      <c r="L42" s="503" t="s">
        <v>404</v>
      </c>
      <c r="M42" s="707" t="s">
        <v>404</v>
      </c>
      <c r="N42" s="715" t="s">
        <v>403</v>
      </c>
    </row>
    <row r="43" spans="2:14" ht="30" x14ac:dyDescent="0.25">
      <c r="B43" s="711" t="s">
        <v>354</v>
      </c>
      <c r="C43" s="816" t="s">
        <v>401</v>
      </c>
      <c r="D43" s="505" t="s">
        <v>401</v>
      </c>
      <c r="E43" s="707" t="s">
        <v>346</v>
      </c>
      <c r="F43" s="718" t="s">
        <v>404</v>
      </c>
      <c r="G43" s="706" t="s">
        <v>404</v>
      </c>
      <c r="H43" s="503" t="s">
        <v>404</v>
      </c>
      <c r="I43" s="503" t="s">
        <v>404</v>
      </c>
      <c r="J43" s="503">
        <v>1</v>
      </c>
      <c r="K43" s="503" t="s">
        <v>404</v>
      </c>
      <c r="L43" s="503" t="s">
        <v>404</v>
      </c>
      <c r="M43" s="503" t="s">
        <v>404</v>
      </c>
      <c r="N43" s="715" t="s">
        <v>417</v>
      </c>
    </row>
    <row r="44" spans="2:14" x14ac:dyDescent="0.25">
      <c r="B44" s="711" t="s">
        <v>351</v>
      </c>
      <c r="C44" s="706" t="s">
        <v>126</v>
      </c>
      <c r="D44" s="503" t="s">
        <v>409</v>
      </c>
      <c r="E44" s="707" t="s">
        <v>351</v>
      </c>
      <c r="F44" s="718" t="s">
        <v>399</v>
      </c>
      <c r="G44" s="706">
        <v>3</v>
      </c>
      <c r="H44" s="503">
        <v>5</v>
      </c>
      <c r="I44" s="503" t="s">
        <v>404</v>
      </c>
      <c r="J44" s="503" t="s">
        <v>404</v>
      </c>
      <c r="K44" s="503" t="s">
        <v>404</v>
      </c>
      <c r="L44" s="503">
        <v>2</v>
      </c>
      <c r="M44" s="707">
        <v>5</v>
      </c>
      <c r="N44" s="715" t="s">
        <v>412</v>
      </c>
    </row>
    <row r="45" spans="2:14" x14ac:dyDescent="0.25">
      <c r="B45" s="711" t="s">
        <v>352</v>
      </c>
      <c r="C45" s="706" t="s">
        <v>126</v>
      </c>
      <c r="D45" s="503" t="s">
        <v>409</v>
      </c>
      <c r="E45" s="707" t="s">
        <v>352</v>
      </c>
      <c r="F45" s="718" t="s">
        <v>399</v>
      </c>
      <c r="G45" s="706">
        <v>3</v>
      </c>
      <c r="H45" s="503">
        <v>5</v>
      </c>
      <c r="I45" s="503" t="s">
        <v>404</v>
      </c>
      <c r="J45" s="503" t="s">
        <v>404</v>
      </c>
      <c r="K45" s="503" t="s">
        <v>404</v>
      </c>
      <c r="L45" s="503">
        <v>2</v>
      </c>
      <c r="M45" s="707">
        <v>5</v>
      </c>
      <c r="N45" s="715" t="s">
        <v>412</v>
      </c>
    </row>
    <row r="46" spans="2:14" ht="30" x14ac:dyDescent="0.25">
      <c r="B46" s="711" t="s">
        <v>353</v>
      </c>
      <c r="C46" s="816" t="s">
        <v>401</v>
      </c>
      <c r="D46" s="505" t="s">
        <v>401</v>
      </c>
      <c r="E46" s="713" t="s">
        <v>403</v>
      </c>
      <c r="F46" s="718" t="s">
        <v>404</v>
      </c>
      <c r="G46" s="706" t="s">
        <v>404</v>
      </c>
      <c r="H46" s="503" t="s">
        <v>404</v>
      </c>
      <c r="I46" s="503" t="s">
        <v>404</v>
      </c>
      <c r="J46" s="503">
        <v>1</v>
      </c>
      <c r="K46" s="503" t="s">
        <v>404</v>
      </c>
      <c r="L46" s="503" t="s">
        <v>404</v>
      </c>
      <c r="M46" s="707" t="s">
        <v>404</v>
      </c>
      <c r="N46" s="715" t="s">
        <v>403</v>
      </c>
    </row>
    <row r="47" spans="2:14" x14ac:dyDescent="0.25">
      <c r="B47" s="711" t="s">
        <v>350</v>
      </c>
      <c r="C47" s="706" t="s">
        <v>126</v>
      </c>
      <c r="D47" s="503" t="s">
        <v>409</v>
      </c>
      <c r="E47" s="707" t="s">
        <v>418</v>
      </c>
      <c r="F47" s="718" t="s">
        <v>399</v>
      </c>
      <c r="G47" s="706">
        <v>3</v>
      </c>
      <c r="H47" s="503">
        <v>5</v>
      </c>
      <c r="I47" s="503" t="s">
        <v>404</v>
      </c>
      <c r="J47" s="503" t="s">
        <v>404</v>
      </c>
      <c r="K47" s="503" t="s">
        <v>404</v>
      </c>
      <c r="L47" s="503">
        <v>2</v>
      </c>
      <c r="M47" s="707">
        <v>10</v>
      </c>
      <c r="N47" s="715" t="s">
        <v>419</v>
      </c>
    </row>
    <row r="48" spans="2:14" ht="30" x14ac:dyDescent="0.25">
      <c r="B48" s="711" t="s">
        <v>355</v>
      </c>
      <c r="C48" s="816" t="s">
        <v>401</v>
      </c>
      <c r="D48" s="505" t="s">
        <v>401</v>
      </c>
      <c r="E48" s="713" t="s">
        <v>403</v>
      </c>
      <c r="F48" s="718" t="s">
        <v>404</v>
      </c>
      <c r="G48" s="706" t="s">
        <v>404</v>
      </c>
      <c r="H48" s="503" t="s">
        <v>404</v>
      </c>
      <c r="I48" s="503" t="s">
        <v>404</v>
      </c>
      <c r="J48" s="503">
        <v>1</v>
      </c>
      <c r="K48" s="503" t="s">
        <v>404</v>
      </c>
      <c r="L48" s="503" t="s">
        <v>404</v>
      </c>
      <c r="M48" s="707" t="s">
        <v>404</v>
      </c>
      <c r="N48" s="715" t="s">
        <v>403</v>
      </c>
    </row>
    <row r="49" spans="2:14" x14ac:dyDescent="0.25">
      <c r="B49" s="711" t="s">
        <v>356</v>
      </c>
      <c r="C49" s="706" t="s">
        <v>126</v>
      </c>
      <c r="D49" s="503" t="s">
        <v>409</v>
      </c>
      <c r="E49" s="707" t="s">
        <v>356</v>
      </c>
      <c r="F49" s="718" t="s">
        <v>399</v>
      </c>
      <c r="G49" s="706">
        <v>3</v>
      </c>
      <c r="H49" s="503">
        <v>5</v>
      </c>
      <c r="I49" s="503" t="s">
        <v>404</v>
      </c>
      <c r="J49" s="503" t="s">
        <v>404</v>
      </c>
      <c r="K49" s="503" t="s">
        <v>404</v>
      </c>
      <c r="L49" s="503">
        <v>1</v>
      </c>
      <c r="M49" s="707">
        <v>1</v>
      </c>
      <c r="N49" s="715" t="s">
        <v>412</v>
      </c>
    </row>
    <row r="50" spans="2:14" ht="30" x14ac:dyDescent="0.25">
      <c r="B50" s="711" t="s">
        <v>357</v>
      </c>
      <c r="C50" s="816" t="s">
        <v>401</v>
      </c>
      <c r="D50" s="505" t="s">
        <v>401</v>
      </c>
      <c r="E50" s="707" t="s">
        <v>339</v>
      </c>
      <c r="F50" s="718" t="s">
        <v>404</v>
      </c>
      <c r="G50" s="706" t="s">
        <v>404</v>
      </c>
      <c r="H50" s="503" t="s">
        <v>404</v>
      </c>
      <c r="I50" s="503" t="s">
        <v>404</v>
      </c>
      <c r="J50" s="503">
        <v>1</v>
      </c>
      <c r="K50" s="503" t="s">
        <v>404</v>
      </c>
      <c r="L50" s="503" t="s">
        <v>404</v>
      </c>
      <c r="M50" s="707" t="s">
        <v>404</v>
      </c>
      <c r="N50" s="715" t="s">
        <v>420</v>
      </c>
    </row>
    <row r="51" spans="2:14" x14ac:dyDescent="0.25">
      <c r="B51" s="711" t="s">
        <v>106</v>
      </c>
      <c r="C51" s="706" t="s">
        <v>126</v>
      </c>
      <c r="D51" s="503" t="s">
        <v>409</v>
      </c>
      <c r="E51" s="711" t="s">
        <v>106</v>
      </c>
      <c r="F51" s="718" t="s">
        <v>399</v>
      </c>
      <c r="G51" s="706">
        <v>27</v>
      </c>
      <c r="H51" s="503" t="s">
        <v>421</v>
      </c>
      <c r="I51" s="503" t="s">
        <v>404</v>
      </c>
      <c r="J51" s="503" t="s">
        <v>404</v>
      </c>
      <c r="K51" s="503" t="s">
        <v>404</v>
      </c>
      <c r="L51" s="503">
        <v>16</v>
      </c>
      <c r="M51" s="707" t="s">
        <v>404</v>
      </c>
      <c r="N51" s="715" t="s">
        <v>403</v>
      </c>
    </row>
    <row r="52" spans="2:14" x14ac:dyDescent="0.25">
      <c r="B52" s="711" t="s">
        <v>358</v>
      </c>
      <c r="C52" s="706" t="s">
        <v>126</v>
      </c>
      <c r="D52" s="503" t="s">
        <v>409</v>
      </c>
      <c r="E52" s="707" t="s">
        <v>358</v>
      </c>
      <c r="F52" s="718" t="s">
        <v>399</v>
      </c>
      <c r="G52" s="706">
        <v>3</v>
      </c>
      <c r="H52" s="503">
        <v>5</v>
      </c>
      <c r="I52" s="503" t="s">
        <v>404</v>
      </c>
      <c r="J52" s="503" t="s">
        <v>404</v>
      </c>
      <c r="K52" s="503" t="s">
        <v>404</v>
      </c>
      <c r="L52" s="503">
        <v>2</v>
      </c>
      <c r="M52" s="707">
        <v>5</v>
      </c>
      <c r="N52" s="715" t="s">
        <v>412</v>
      </c>
    </row>
    <row r="53" spans="2:14" x14ac:dyDescent="0.25">
      <c r="B53" s="711" t="s">
        <v>359</v>
      </c>
      <c r="C53" s="706" t="s">
        <v>402</v>
      </c>
      <c r="D53" s="503" t="s">
        <v>402</v>
      </c>
      <c r="E53" s="713" t="s">
        <v>403</v>
      </c>
      <c r="F53" s="718" t="s">
        <v>404</v>
      </c>
      <c r="G53" s="706" t="s">
        <v>404</v>
      </c>
      <c r="H53" s="503" t="s">
        <v>404</v>
      </c>
      <c r="I53" s="503" t="s">
        <v>404</v>
      </c>
      <c r="J53" s="503" t="s">
        <v>404</v>
      </c>
      <c r="K53" s="503">
        <v>0</v>
      </c>
      <c r="L53" s="503" t="s">
        <v>404</v>
      </c>
      <c r="M53" s="707" t="s">
        <v>404</v>
      </c>
      <c r="N53" s="715" t="s">
        <v>403</v>
      </c>
    </row>
    <row r="54" spans="2:14" x14ac:dyDescent="0.25">
      <c r="B54" s="711" t="s">
        <v>360</v>
      </c>
      <c r="C54" s="706" t="s">
        <v>126</v>
      </c>
      <c r="D54" s="503" t="s">
        <v>409</v>
      </c>
      <c r="E54" s="707" t="s">
        <v>360</v>
      </c>
      <c r="F54" s="718" t="s">
        <v>399</v>
      </c>
      <c r="G54" s="706">
        <v>3</v>
      </c>
      <c r="H54" s="503">
        <v>5</v>
      </c>
      <c r="I54" s="503" t="s">
        <v>404</v>
      </c>
      <c r="J54" s="503" t="s">
        <v>404</v>
      </c>
      <c r="K54" s="503" t="s">
        <v>404</v>
      </c>
      <c r="L54" s="503">
        <v>1</v>
      </c>
      <c r="M54" s="707">
        <v>1</v>
      </c>
      <c r="N54" s="715" t="s">
        <v>412</v>
      </c>
    </row>
    <row r="55" spans="2:14" ht="30" x14ac:dyDescent="0.25">
      <c r="B55" s="711" t="s">
        <v>361</v>
      </c>
      <c r="C55" s="816" t="s">
        <v>401</v>
      </c>
      <c r="D55" s="505" t="s">
        <v>401</v>
      </c>
      <c r="E55" s="713" t="s">
        <v>403</v>
      </c>
      <c r="F55" s="718" t="s">
        <v>404</v>
      </c>
      <c r="G55" s="706" t="s">
        <v>404</v>
      </c>
      <c r="H55" s="503" t="s">
        <v>404</v>
      </c>
      <c r="I55" s="503" t="s">
        <v>404</v>
      </c>
      <c r="J55" s="503">
        <v>1</v>
      </c>
      <c r="K55" s="503" t="s">
        <v>404</v>
      </c>
      <c r="L55" s="503">
        <v>2</v>
      </c>
      <c r="M55" s="707">
        <v>5</v>
      </c>
      <c r="N55" s="715" t="s">
        <v>412</v>
      </c>
    </row>
    <row r="56" spans="2:14" x14ac:dyDescent="0.25">
      <c r="B56" s="711" t="s">
        <v>362</v>
      </c>
      <c r="C56" s="706" t="s">
        <v>126</v>
      </c>
      <c r="D56" s="503" t="s">
        <v>409</v>
      </c>
      <c r="E56" s="718" t="s">
        <v>362</v>
      </c>
      <c r="F56" s="718" t="s">
        <v>399</v>
      </c>
      <c r="G56" s="706">
        <v>3</v>
      </c>
      <c r="H56" s="503">
        <v>5</v>
      </c>
      <c r="I56" s="503" t="s">
        <v>404</v>
      </c>
      <c r="J56" s="503" t="s">
        <v>404</v>
      </c>
      <c r="K56" s="503" t="s">
        <v>404</v>
      </c>
      <c r="L56" s="503">
        <v>1</v>
      </c>
      <c r="M56" s="707">
        <v>1</v>
      </c>
      <c r="N56" s="715" t="s">
        <v>412</v>
      </c>
    </row>
    <row r="57" spans="2:14" x14ac:dyDescent="0.25">
      <c r="B57" s="711" t="s">
        <v>363</v>
      </c>
      <c r="C57" s="706" t="s">
        <v>126</v>
      </c>
      <c r="D57" s="503" t="s">
        <v>409</v>
      </c>
      <c r="E57" s="707" t="s">
        <v>422</v>
      </c>
      <c r="F57" s="718" t="s">
        <v>399</v>
      </c>
      <c r="G57" s="706">
        <v>30</v>
      </c>
      <c r="H57" s="503" t="s">
        <v>421</v>
      </c>
      <c r="I57" s="503" t="s">
        <v>404</v>
      </c>
      <c r="J57" s="503" t="s">
        <v>404</v>
      </c>
      <c r="K57" s="503" t="s">
        <v>404</v>
      </c>
      <c r="L57" s="503" t="s">
        <v>421</v>
      </c>
      <c r="M57" s="707" t="s">
        <v>404</v>
      </c>
      <c r="N57" s="715" t="s">
        <v>423</v>
      </c>
    </row>
    <row r="58" spans="2:14" x14ac:dyDescent="0.25">
      <c r="B58" s="711" t="s">
        <v>364</v>
      </c>
      <c r="C58" s="706" t="s">
        <v>126</v>
      </c>
      <c r="D58" s="503" t="s">
        <v>409</v>
      </c>
      <c r="E58" s="707" t="s">
        <v>364</v>
      </c>
      <c r="F58" s="718" t="s">
        <v>399</v>
      </c>
      <c r="G58" s="706" t="s">
        <v>421</v>
      </c>
      <c r="H58" s="503" t="s">
        <v>421</v>
      </c>
      <c r="I58" s="503" t="s">
        <v>404</v>
      </c>
      <c r="J58" s="503" t="s">
        <v>404</v>
      </c>
      <c r="K58" s="503" t="s">
        <v>404</v>
      </c>
      <c r="L58" s="503">
        <v>15</v>
      </c>
      <c r="M58" s="707" t="s">
        <v>421</v>
      </c>
      <c r="N58" s="715" t="s">
        <v>412</v>
      </c>
    </row>
    <row r="59" spans="2:14" x14ac:dyDescent="0.25">
      <c r="B59" s="711" t="s">
        <v>365</v>
      </c>
      <c r="C59" s="706" t="s">
        <v>126</v>
      </c>
      <c r="D59" s="503" t="s">
        <v>409</v>
      </c>
      <c r="E59" s="707" t="s">
        <v>365</v>
      </c>
      <c r="F59" s="718" t="s">
        <v>399</v>
      </c>
      <c r="G59" s="706">
        <v>15</v>
      </c>
      <c r="H59" s="503" t="s">
        <v>421</v>
      </c>
      <c r="I59" s="503" t="s">
        <v>404</v>
      </c>
      <c r="J59" s="503" t="s">
        <v>404</v>
      </c>
      <c r="K59" s="503" t="s">
        <v>404</v>
      </c>
      <c r="L59" s="503">
        <v>10</v>
      </c>
      <c r="M59" s="707">
        <v>25</v>
      </c>
      <c r="N59" s="715" t="s">
        <v>412</v>
      </c>
    </row>
    <row r="60" spans="2:14" x14ac:dyDescent="0.25">
      <c r="B60" s="711" t="s">
        <v>366</v>
      </c>
      <c r="C60" s="706" t="s">
        <v>126</v>
      </c>
      <c r="D60" s="503" t="s">
        <v>409</v>
      </c>
      <c r="E60" s="707" t="s">
        <v>366</v>
      </c>
      <c r="F60" s="718" t="s">
        <v>399</v>
      </c>
      <c r="G60" s="706">
        <v>30</v>
      </c>
      <c r="H60" s="503" t="s">
        <v>421</v>
      </c>
      <c r="I60" s="503" t="s">
        <v>404</v>
      </c>
      <c r="J60" s="503" t="s">
        <v>404</v>
      </c>
      <c r="K60" s="503" t="s">
        <v>404</v>
      </c>
      <c r="L60" s="503">
        <v>10</v>
      </c>
      <c r="M60" s="707">
        <v>25</v>
      </c>
      <c r="N60" s="715" t="s">
        <v>412</v>
      </c>
    </row>
    <row r="61" spans="2:14" x14ac:dyDescent="0.25">
      <c r="B61" s="711" t="s">
        <v>367</v>
      </c>
      <c r="C61" s="706" t="s">
        <v>126</v>
      </c>
      <c r="D61" s="503" t="s">
        <v>409</v>
      </c>
      <c r="E61" s="707" t="s">
        <v>367</v>
      </c>
      <c r="F61" s="718" t="s">
        <v>399</v>
      </c>
      <c r="G61" s="706">
        <v>1</v>
      </c>
      <c r="H61" s="503">
        <v>3</v>
      </c>
      <c r="I61" s="503" t="s">
        <v>404</v>
      </c>
      <c r="J61" s="503" t="s">
        <v>404</v>
      </c>
      <c r="K61" s="503" t="s">
        <v>404</v>
      </c>
      <c r="L61" s="503">
        <v>2</v>
      </c>
      <c r="M61" s="707" t="s">
        <v>404</v>
      </c>
      <c r="N61" s="715" t="s">
        <v>412</v>
      </c>
    </row>
    <row r="62" spans="2:14" x14ac:dyDescent="0.25">
      <c r="B62" s="711" t="s">
        <v>368</v>
      </c>
      <c r="C62" s="706" t="s">
        <v>126</v>
      </c>
      <c r="D62" s="503" t="s">
        <v>409</v>
      </c>
      <c r="E62" s="707" t="s">
        <v>368</v>
      </c>
      <c r="F62" s="718" t="s">
        <v>399</v>
      </c>
      <c r="G62" s="706">
        <v>7</v>
      </c>
      <c r="H62" s="503">
        <v>15</v>
      </c>
      <c r="I62" s="503" t="s">
        <v>404</v>
      </c>
      <c r="J62" s="503" t="s">
        <v>404</v>
      </c>
      <c r="K62" s="503" t="s">
        <v>404</v>
      </c>
      <c r="L62" s="503">
        <v>14</v>
      </c>
      <c r="M62" s="707" t="s">
        <v>404</v>
      </c>
      <c r="N62" s="715" t="s">
        <v>412</v>
      </c>
    </row>
    <row r="63" spans="2:14" x14ac:dyDescent="0.25">
      <c r="B63" s="711" t="s">
        <v>369</v>
      </c>
      <c r="C63" s="706" t="s">
        <v>126</v>
      </c>
      <c r="D63" s="503" t="s">
        <v>409</v>
      </c>
      <c r="E63" s="707" t="s">
        <v>369</v>
      </c>
      <c r="F63" s="718" t="s">
        <v>399</v>
      </c>
      <c r="G63" s="706">
        <v>1</v>
      </c>
      <c r="H63" s="503">
        <v>3</v>
      </c>
      <c r="I63" s="503" t="s">
        <v>404</v>
      </c>
      <c r="J63" s="503" t="s">
        <v>404</v>
      </c>
      <c r="K63" s="503" t="s">
        <v>404</v>
      </c>
      <c r="L63" s="503">
        <v>2</v>
      </c>
      <c r="M63" s="707" t="s">
        <v>404</v>
      </c>
      <c r="N63" s="715" t="s">
        <v>412</v>
      </c>
    </row>
    <row r="64" spans="2:14" x14ac:dyDescent="0.25">
      <c r="B64" s="711" t="s">
        <v>370</v>
      </c>
      <c r="C64" s="706" t="s">
        <v>126</v>
      </c>
      <c r="D64" s="503" t="s">
        <v>409</v>
      </c>
      <c r="E64" s="707" t="s">
        <v>370</v>
      </c>
      <c r="F64" s="718" t="s">
        <v>399</v>
      </c>
      <c r="G64" s="706">
        <v>3</v>
      </c>
      <c r="H64" s="503">
        <v>6</v>
      </c>
      <c r="I64" s="503" t="s">
        <v>404</v>
      </c>
      <c r="J64" s="503" t="s">
        <v>404</v>
      </c>
      <c r="K64" s="503" t="s">
        <v>404</v>
      </c>
      <c r="L64" s="503">
        <v>4</v>
      </c>
      <c r="M64" s="707" t="s">
        <v>404</v>
      </c>
      <c r="N64" s="715" t="s">
        <v>412</v>
      </c>
    </row>
    <row r="65" spans="2:14" x14ac:dyDescent="0.25">
      <c r="B65" s="711" t="s">
        <v>371</v>
      </c>
      <c r="C65" s="706" t="s">
        <v>126</v>
      </c>
      <c r="D65" s="503" t="s">
        <v>409</v>
      </c>
      <c r="E65" s="707" t="s">
        <v>371</v>
      </c>
      <c r="F65" s="718" t="s">
        <v>399</v>
      </c>
      <c r="G65" s="706">
        <v>1</v>
      </c>
      <c r="H65" s="503">
        <v>4</v>
      </c>
      <c r="I65" s="503" t="s">
        <v>404</v>
      </c>
      <c r="J65" s="503" t="s">
        <v>404</v>
      </c>
      <c r="K65" s="503" t="s">
        <v>404</v>
      </c>
      <c r="L65" s="503">
        <v>3</v>
      </c>
      <c r="M65" s="707" t="s">
        <v>404</v>
      </c>
      <c r="N65" s="715" t="s">
        <v>412</v>
      </c>
    </row>
    <row r="66" spans="2:14" x14ac:dyDescent="0.25">
      <c r="B66" s="711" t="s">
        <v>372</v>
      </c>
      <c r="C66" s="706" t="s">
        <v>126</v>
      </c>
      <c r="D66" s="503" t="s">
        <v>409</v>
      </c>
      <c r="E66" s="707" t="s">
        <v>372</v>
      </c>
      <c r="F66" s="718" t="s">
        <v>399</v>
      </c>
      <c r="G66" s="706">
        <v>3</v>
      </c>
      <c r="H66" s="503">
        <v>5</v>
      </c>
      <c r="I66" s="503" t="s">
        <v>404</v>
      </c>
      <c r="J66" s="503" t="s">
        <v>404</v>
      </c>
      <c r="K66" s="503" t="s">
        <v>404</v>
      </c>
      <c r="L66" s="503">
        <v>4</v>
      </c>
      <c r="M66" s="707" t="s">
        <v>404</v>
      </c>
      <c r="N66" s="715" t="s">
        <v>412</v>
      </c>
    </row>
    <row r="67" spans="2:14" x14ac:dyDescent="0.25">
      <c r="B67" s="711" t="s">
        <v>373</v>
      </c>
      <c r="C67" s="706" t="s">
        <v>126</v>
      </c>
      <c r="D67" s="503" t="s">
        <v>409</v>
      </c>
      <c r="E67" s="707" t="s">
        <v>373</v>
      </c>
      <c r="F67" s="718" t="s">
        <v>399</v>
      </c>
      <c r="G67" s="706">
        <v>3</v>
      </c>
      <c r="H67" s="503">
        <v>5</v>
      </c>
      <c r="I67" s="503" t="s">
        <v>404</v>
      </c>
      <c r="J67" s="503" t="s">
        <v>404</v>
      </c>
      <c r="K67" s="503" t="s">
        <v>404</v>
      </c>
      <c r="L67" s="503">
        <v>2</v>
      </c>
      <c r="M67" s="707" t="s">
        <v>404</v>
      </c>
      <c r="N67" s="715" t="s">
        <v>412</v>
      </c>
    </row>
    <row r="68" spans="2:14" x14ac:dyDescent="0.25">
      <c r="B68" s="711" t="s">
        <v>374</v>
      </c>
      <c r="C68" s="706" t="s">
        <v>126</v>
      </c>
      <c r="D68" s="503" t="s">
        <v>409</v>
      </c>
      <c r="E68" s="707" t="s">
        <v>374</v>
      </c>
      <c r="F68" s="718" t="s">
        <v>399</v>
      </c>
      <c r="G68" s="706">
        <v>10</v>
      </c>
      <c r="H68" s="503">
        <v>20</v>
      </c>
      <c r="I68" s="503" t="s">
        <v>404</v>
      </c>
      <c r="J68" s="503" t="s">
        <v>404</v>
      </c>
      <c r="K68" s="503" t="s">
        <v>404</v>
      </c>
      <c r="L68" s="503">
        <v>20</v>
      </c>
      <c r="M68" s="707" t="s">
        <v>404</v>
      </c>
      <c r="N68" s="715" t="s">
        <v>412</v>
      </c>
    </row>
    <row r="69" spans="2:14" x14ac:dyDescent="0.25">
      <c r="B69" s="711" t="s">
        <v>375</v>
      </c>
      <c r="C69" s="706" t="s">
        <v>126</v>
      </c>
      <c r="D69" s="503" t="s">
        <v>409</v>
      </c>
      <c r="E69" s="707" t="s">
        <v>375</v>
      </c>
      <c r="F69" s="718" t="s">
        <v>399</v>
      </c>
      <c r="G69" s="706">
        <v>5</v>
      </c>
      <c r="H69" s="503">
        <v>15</v>
      </c>
      <c r="I69" s="503" t="s">
        <v>404</v>
      </c>
      <c r="J69" s="503" t="s">
        <v>404</v>
      </c>
      <c r="K69" s="503" t="s">
        <v>404</v>
      </c>
      <c r="L69" s="503">
        <v>6</v>
      </c>
      <c r="M69" s="707" t="s">
        <v>404</v>
      </c>
      <c r="N69" s="715" t="s">
        <v>412</v>
      </c>
    </row>
    <row r="70" spans="2:14" x14ac:dyDescent="0.25">
      <c r="B70" s="711" t="s">
        <v>376</v>
      </c>
      <c r="C70" s="706" t="s">
        <v>126</v>
      </c>
      <c r="D70" s="503" t="s">
        <v>409</v>
      </c>
      <c r="E70" s="707" t="s">
        <v>376</v>
      </c>
      <c r="F70" s="718" t="s">
        <v>399</v>
      </c>
      <c r="G70" s="706">
        <v>1</v>
      </c>
      <c r="H70" s="503">
        <v>4</v>
      </c>
      <c r="I70" s="503" t="s">
        <v>404</v>
      </c>
      <c r="J70" s="503" t="s">
        <v>404</v>
      </c>
      <c r="K70" s="503" t="s">
        <v>404</v>
      </c>
      <c r="L70" s="503">
        <v>3</v>
      </c>
      <c r="M70" s="707" t="s">
        <v>404</v>
      </c>
      <c r="N70" s="715" t="s">
        <v>412</v>
      </c>
    </row>
    <row r="71" spans="2:14" x14ac:dyDescent="0.25">
      <c r="B71" s="711" t="s">
        <v>377</v>
      </c>
      <c r="C71" s="706" t="s">
        <v>126</v>
      </c>
      <c r="D71" s="503" t="s">
        <v>409</v>
      </c>
      <c r="E71" s="707" t="s">
        <v>424</v>
      </c>
      <c r="F71" s="718" t="s">
        <v>399</v>
      </c>
      <c r="G71" s="706">
        <v>5</v>
      </c>
      <c r="H71" s="503">
        <v>15</v>
      </c>
      <c r="I71" s="503" t="s">
        <v>404</v>
      </c>
      <c r="J71" s="503" t="s">
        <v>404</v>
      </c>
      <c r="K71" s="503" t="s">
        <v>404</v>
      </c>
      <c r="L71" s="503">
        <v>8</v>
      </c>
      <c r="M71" s="707" t="s">
        <v>404</v>
      </c>
      <c r="N71" s="715" t="s">
        <v>425</v>
      </c>
    </row>
    <row r="72" spans="2:14" x14ac:dyDescent="0.25">
      <c r="B72" s="711" t="s">
        <v>378</v>
      </c>
      <c r="C72" s="706" t="s">
        <v>126</v>
      </c>
      <c r="D72" s="503" t="s">
        <v>409</v>
      </c>
      <c r="E72" s="707" t="s">
        <v>426</v>
      </c>
      <c r="F72" s="718" t="s">
        <v>399</v>
      </c>
      <c r="G72" s="706">
        <v>4</v>
      </c>
      <c r="H72" s="503">
        <v>13</v>
      </c>
      <c r="I72" s="503" t="s">
        <v>404</v>
      </c>
      <c r="J72" s="503" t="s">
        <v>404</v>
      </c>
      <c r="K72" s="503" t="s">
        <v>404</v>
      </c>
      <c r="L72" s="503">
        <v>7</v>
      </c>
      <c r="M72" s="707" t="s">
        <v>404</v>
      </c>
      <c r="N72" s="715" t="s">
        <v>425</v>
      </c>
    </row>
    <row r="73" spans="2:14" x14ac:dyDescent="0.25">
      <c r="B73" s="711" t="s">
        <v>379</v>
      </c>
      <c r="C73" s="706" t="s">
        <v>126</v>
      </c>
      <c r="D73" s="503" t="s">
        <v>409</v>
      </c>
      <c r="E73" s="707" t="s">
        <v>379</v>
      </c>
      <c r="F73" s="718" t="s">
        <v>399</v>
      </c>
      <c r="G73" s="706">
        <v>4</v>
      </c>
      <c r="H73" s="503">
        <v>13</v>
      </c>
      <c r="I73" s="503" t="s">
        <v>404</v>
      </c>
      <c r="J73" s="503" t="s">
        <v>404</v>
      </c>
      <c r="K73" s="503" t="s">
        <v>404</v>
      </c>
      <c r="L73" s="503">
        <v>7</v>
      </c>
      <c r="M73" s="707">
        <v>13</v>
      </c>
      <c r="N73" s="715" t="s">
        <v>412</v>
      </c>
    </row>
    <row r="74" spans="2:14" x14ac:dyDescent="0.25">
      <c r="B74" s="711" t="s">
        <v>245</v>
      </c>
      <c r="C74" s="706" t="s">
        <v>126</v>
      </c>
      <c r="D74" s="503" t="s">
        <v>409</v>
      </c>
      <c r="E74" s="707" t="s">
        <v>245</v>
      </c>
      <c r="F74" s="718" t="s">
        <v>399</v>
      </c>
      <c r="G74" s="706">
        <v>5</v>
      </c>
      <c r="H74" s="503">
        <v>12</v>
      </c>
      <c r="I74" s="503" t="s">
        <v>404</v>
      </c>
      <c r="J74" s="503" t="s">
        <v>404</v>
      </c>
      <c r="K74" s="503" t="s">
        <v>404</v>
      </c>
      <c r="L74" s="503">
        <v>2</v>
      </c>
      <c r="M74" s="713">
        <v>5</v>
      </c>
      <c r="N74" s="715" t="s">
        <v>412</v>
      </c>
    </row>
    <row r="75" spans="2:14" x14ac:dyDescent="0.25">
      <c r="B75" s="711" t="s">
        <v>246</v>
      </c>
      <c r="C75" s="706" t="s">
        <v>126</v>
      </c>
      <c r="D75" s="503" t="s">
        <v>409</v>
      </c>
      <c r="E75" s="707" t="s">
        <v>246</v>
      </c>
      <c r="F75" s="718" t="s">
        <v>399</v>
      </c>
      <c r="G75" s="706">
        <v>5</v>
      </c>
      <c r="H75" s="503">
        <v>12</v>
      </c>
      <c r="I75" s="503" t="s">
        <v>404</v>
      </c>
      <c r="J75" s="503" t="s">
        <v>404</v>
      </c>
      <c r="K75" s="503" t="s">
        <v>404</v>
      </c>
      <c r="L75" s="503">
        <v>2</v>
      </c>
      <c r="M75" s="713">
        <v>6</v>
      </c>
      <c r="N75" s="715" t="s">
        <v>412</v>
      </c>
    </row>
    <row r="76" spans="2:14" x14ac:dyDescent="0.25">
      <c r="B76" s="711" t="s">
        <v>247</v>
      </c>
      <c r="C76" s="706" t="s">
        <v>126</v>
      </c>
      <c r="D76" s="503" t="s">
        <v>409</v>
      </c>
      <c r="E76" s="707" t="s">
        <v>247</v>
      </c>
      <c r="F76" s="718" t="s">
        <v>399</v>
      </c>
      <c r="G76" s="706">
        <v>10</v>
      </c>
      <c r="H76" s="503">
        <v>20</v>
      </c>
      <c r="I76" s="503" t="s">
        <v>404</v>
      </c>
      <c r="J76" s="503" t="s">
        <v>404</v>
      </c>
      <c r="K76" s="503" t="s">
        <v>404</v>
      </c>
      <c r="L76" s="503">
        <v>4</v>
      </c>
      <c r="M76" s="713">
        <v>12</v>
      </c>
      <c r="N76" s="715" t="s">
        <v>412</v>
      </c>
    </row>
    <row r="77" spans="2:14" x14ac:dyDescent="0.25">
      <c r="B77" s="711" t="s">
        <v>251</v>
      </c>
      <c r="C77" s="706" t="s">
        <v>126</v>
      </c>
      <c r="D77" s="503" t="s">
        <v>409</v>
      </c>
      <c r="E77" s="707" t="s">
        <v>427</v>
      </c>
      <c r="F77" s="718" t="s">
        <v>399</v>
      </c>
      <c r="G77" s="706">
        <v>5</v>
      </c>
      <c r="H77" s="503">
        <v>12</v>
      </c>
      <c r="I77" s="503" t="s">
        <v>404</v>
      </c>
      <c r="J77" s="503" t="s">
        <v>404</v>
      </c>
      <c r="K77" s="503" t="s">
        <v>404</v>
      </c>
      <c r="L77" s="503">
        <v>2</v>
      </c>
      <c r="M77" s="713" t="s">
        <v>404</v>
      </c>
      <c r="N77" s="715" t="s">
        <v>428</v>
      </c>
    </row>
    <row r="78" spans="2:14" x14ac:dyDescent="0.25">
      <c r="B78" s="711" t="s">
        <v>255</v>
      </c>
      <c r="C78" s="816" t="s">
        <v>400</v>
      </c>
      <c r="D78" s="505" t="s">
        <v>400</v>
      </c>
      <c r="E78" s="713" t="s">
        <v>403</v>
      </c>
      <c r="F78" s="718" t="s">
        <v>404</v>
      </c>
      <c r="G78" s="706" t="s">
        <v>404</v>
      </c>
      <c r="H78" s="503" t="s">
        <v>404</v>
      </c>
      <c r="I78" s="503">
        <v>1</v>
      </c>
      <c r="J78" s="503" t="s">
        <v>404</v>
      </c>
      <c r="K78" s="503" t="s">
        <v>404</v>
      </c>
      <c r="L78" s="503" t="s">
        <v>404</v>
      </c>
      <c r="M78" s="713" t="s">
        <v>404</v>
      </c>
      <c r="N78" s="715" t="s">
        <v>403</v>
      </c>
    </row>
    <row r="79" spans="2:14" ht="28.9" customHeight="1" x14ac:dyDescent="0.25">
      <c r="B79" s="711" t="s">
        <v>252</v>
      </c>
      <c r="C79" s="706" t="s">
        <v>126</v>
      </c>
      <c r="D79" s="503" t="s">
        <v>409</v>
      </c>
      <c r="E79" s="713" t="s">
        <v>429</v>
      </c>
      <c r="F79" s="718" t="s">
        <v>399</v>
      </c>
      <c r="G79" s="706">
        <v>20</v>
      </c>
      <c r="H79" s="503" t="s">
        <v>421</v>
      </c>
      <c r="I79" s="503" t="s">
        <v>404</v>
      </c>
      <c r="J79" s="503" t="s">
        <v>404</v>
      </c>
      <c r="K79" s="503" t="s">
        <v>430</v>
      </c>
      <c r="L79" s="503">
        <v>10</v>
      </c>
      <c r="M79" s="713" t="s">
        <v>430</v>
      </c>
      <c r="N79" s="715" t="s">
        <v>431</v>
      </c>
    </row>
    <row r="80" spans="2:14" ht="30" x14ac:dyDescent="0.25">
      <c r="B80" s="711" t="s">
        <v>248</v>
      </c>
      <c r="C80" s="706" t="s">
        <v>126</v>
      </c>
      <c r="D80" s="503" t="s">
        <v>409</v>
      </c>
      <c r="E80" s="707" t="s">
        <v>432</v>
      </c>
      <c r="F80" s="718" t="s">
        <v>399</v>
      </c>
      <c r="G80" s="706">
        <v>20</v>
      </c>
      <c r="H80" s="503" t="s">
        <v>421</v>
      </c>
      <c r="I80" s="503" t="s">
        <v>404</v>
      </c>
      <c r="J80" s="503" t="s">
        <v>404</v>
      </c>
      <c r="K80" s="503" t="s">
        <v>404</v>
      </c>
      <c r="L80" s="503">
        <v>10</v>
      </c>
      <c r="M80" s="713" t="s">
        <v>404</v>
      </c>
      <c r="N80" s="715" t="s">
        <v>433</v>
      </c>
    </row>
    <row r="81" spans="2:14" ht="28.9" customHeight="1" x14ac:dyDescent="0.25">
      <c r="B81" s="711" t="s">
        <v>253</v>
      </c>
      <c r="C81" s="706" t="s">
        <v>126</v>
      </c>
      <c r="D81" s="503" t="s">
        <v>409</v>
      </c>
      <c r="E81" s="713" t="s">
        <v>434</v>
      </c>
      <c r="F81" s="718" t="s">
        <v>399</v>
      </c>
      <c r="G81" s="706">
        <v>20</v>
      </c>
      <c r="H81" s="503" t="s">
        <v>421</v>
      </c>
      <c r="I81" s="503" t="s">
        <v>404</v>
      </c>
      <c r="J81" s="503" t="s">
        <v>404</v>
      </c>
      <c r="K81" s="503" t="s">
        <v>404</v>
      </c>
      <c r="L81" s="503">
        <v>10</v>
      </c>
      <c r="M81" s="713">
        <v>10</v>
      </c>
      <c r="N81" s="715" t="s">
        <v>431</v>
      </c>
    </row>
    <row r="82" spans="2:14" x14ac:dyDescent="0.25">
      <c r="B82" s="711" t="s">
        <v>249</v>
      </c>
      <c r="C82" s="706" t="s">
        <v>126</v>
      </c>
      <c r="D82" s="503" t="s">
        <v>409</v>
      </c>
      <c r="E82" s="707" t="s">
        <v>435</v>
      </c>
      <c r="F82" s="718" t="s">
        <v>399</v>
      </c>
      <c r="G82" s="706">
        <v>20</v>
      </c>
      <c r="H82" s="503" t="s">
        <v>421</v>
      </c>
      <c r="I82" s="503" t="s">
        <v>404</v>
      </c>
      <c r="J82" s="503" t="s">
        <v>404</v>
      </c>
      <c r="K82" s="503" t="s">
        <v>404</v>
      </c>
      <c r="L82" s="503">
        <v>10</v>
      </c>
      <c r="M82" s="713">
        <v>10</v>
      </c>
      <c r="N82" s="715" t="s">
        <v>412</v>
      </c>
    </row>
    <row r="83" spans="2:14" x14ac:dyDescent="0.25">
      <c r="B83" s="711" t="s">
        <v>272</v>
      </c>
      <c r="C83" s="706" t="s">
        <v>126</v>
      </c>
      <c r="D83" s="503" t="s">
        <v>409</v>
      </c>
      <c r="E83" s="707" t="s">
        <v>272</v>
      </c>
      <c r="F83" s="718" t="s">
        <v>399</v>
      </c>
      <c r="G83" s="706">
        <v>5</v>
      </c>
      <c r="H83" s="503">
        <v>10</v>
      </c>
      <c r="I83" s="503" t="s">
        <v>404</v>
      </c>
      <c r="J83" s="503" t="s">
        <v>404</v>
      </c>
      <c r="K83" s="503" t="s">
        <v>404</v>
      </c>
      <c r="L83" s="503">
        <v>4</v>
      </c>
      <c r="M83" s="713">
        <v>10</v>
      </c>
      <c r="N83" s="715" t="s">
        <v>412</v>
      </c>
    </row>
    <row r="84" spans="2:14" x14ac:dyDescent="0.25">
      <c r="B84" s="711" t="s">
        <v>271</v>
      </c>
      <c r="C84" s="706" t="s">
        <v>126</v>
      </c>
      <c r="D84" s="503" t="s">
        <v>409</v>
      </c>
      <c r="E84" s="707" t="s">
        <v>271</v>
      </c>
      <c r="F84" s="718" t="s">
        <v>399</v>
      </c>
      <c r="G84" s="706">
        <v>5</v>
      </c>
      <c r="H84" s="503">
        <v>10</v>
      </c>
      <c r="I84" s="503" t="s">
        <v>404</v>
      </c>
      <c r="J84" s="503" t="s">
        <v>404</v>
      </c>
      <c r="K84" s="503" t="s">
        <v>404</v>
      </c>
      <c r="L84" s="503">
        <v>4</v>
      </c>
      <c r="M84" s="713">
        <v>10</v>
      </c>
      <c r="N84" s="715" t="s">
        <v>412</v>
      </c>
    </row>
    <row r="85" spans="2:14" x14ac:dyDescent="0.25">
      <c r="B85" s="711" t="s">
        <v>273</v>
      </c>
      <c r="C85" s="816" t="s">
        <v>400</v>
      </c>
      <c r="D85" s="505" t="s">
        <v>400</v>
      </c>
      <c r="E85" s="713" t="s">
        <v>436</v>
      </c>
      <c r="F85" s="718" t="s">
        <v>404</v>
      </c>
      <c r="G85" s="706" t="s">
        <v>404</v>
      </c>
      <c r="H85" s="503" t="s">
        <v>404</v>
      </c>
      <c r="I85" s="503">
        <v>1</v>
      </c>
      <c r="J85" s="503" t="s">
        <v>404</v>
      </c>
      <c r="K85" s="503" t="s">
        <v>404</v>
      </c>
      <c r="L85" s="503" t="s">
        <v>404</v>
      </c>
      <c r="M85" s="713" t="s">
        <v>404</v>
      </c>
      <c r="N85" s="715" t="s">
        <v>437</v>
      </c>
    </row>
    <row r="86" spans="2:14" x14ac:dyDescent="0.25">
      <c r="B86" s="711"/>
      <c r="C86" s="706"/>
      <c r="D86" s="503"/>
      <c r="E86" s="707"/>
      <c r="F86" s="718"/>
      <c r="G86" s="706"/>
      <c r="H86" s="503"/>
      <c r="I86" s="503"/>
      <c r="J86" s="503"/>
      <c r="K86" s="503"/>
      <c r="L86" s="503"/>
      <c r="M86" s="707"/>
      <c r="N86" s="711"/>
    </row>
    <row r="87" spans="2:14" x14ac:dyDescent="0.25">
      <c r="B87" s="711"/>
      <c r="C87" s="706"/>
      <c r="D87" s="503"/>
      <c r="E87" s="707"/>
      <c r="F87" s="718"/>
      <c r="G87" s="706"/>
      <c r="H87" s="503"/>
      <c r="I87" s="503"/>
      <c r="J87" s="503"/>
      <c r="K87" s="503"/>
      <c r="L87" s="503"/>
      <c r="M87" s="707"/>
      <c r="N87" s="711"/>
    </row>
    <row r="88" spans="2:14" x14ac:dyDescent="0.25">
      <c r="B88" s="711"/>
      <c r="C88" s="706"/>
      <c r="D88" s="503"/>
      <c r="E88" s="707"/>
      <c r="F88" s="718"/>
      <c r="G88" s="706"/>
      <c r="H88" s="503"/>
      <c r="I88" s="503"/>
      <c r="J88" s="503"/>
      <c r="K88" s="503"/>
      <c r="L88" s="503"/>
      <c r="M88" s="707"/>
      <c r="N88" s="711"/>
    </row>
    <row r="89" spans="2:14" x14ac:dyDescent="0.25">
      <c r="B89" s="711"/>
      <c r="C89" s="706"/>
      <c r="D89" s="503"/>
      <c r="E89" s="707"/>
      <c r="F89" s="718"/>
      <c r="G89" s="706"/>
      <c r="H89" s="503"/>
      <c r="I89" s="503"/>
      <c r="J89" s="503"/>
      <c r="K89" s="503"/>
      <c r="L89" s="503"/>
      <c r="M89" s="707"/>
      <c r="N89" s="711"/>
    </row>
    <row r="90" spans="2:14" x14ac:dyDescent="0.25">
      <c r="B90" s="711"/>
      <c r="C90" s="706"/>
      <c r="D90" s="503"/>
      <c r="E90" s="707"/>
      <c r="F90" s="718"/>
      <c r="G90" s="706"/>
      <c r="H90" s="503"/>
      <c r="I90" s="503"/>
      <c r="J90" s="503"/>
      <c r="K90" s="503"/>
      <c r="L90" s="503"/>
      <c r="M90" s="707"/>
      <c r="N90" s="711"/>
    </row>
    <row r="91" spans="2:14" x14ac:dyDescent="0.25">
      <c r="B91" s="711"/>
      <c r="C91" s="706"/>
      <c r="D91" s="503"/>
      <c r="E91" s="707"/>
      <c r="F91" s="718"/>
      <c r="G91" s="706"/>
      <c r="H91" s="503"/>
      <c r="I91" s="503"/>
      <c r="J91" s="503"/>
      <c r="K91" s="503"/>
      <c r="L91" s="503"/>
      <c r="M91" s="707"/>
      <c r="N91" s="711"/>
    </row>
    <row r="92" spans="2:14" x14ac:dyDescent="0.25">
      <c r="B92" s="711"/>
      <c r="C92" s="706"/>
      <c r="D92" s="503"/>
      <c r="E92" s="707"/>
      <c r="F92" s="718"/>
      <c r="G92" s="706"/>
      <c r="H92" s="503"/>
      <c r="I92" s="503"/>
      <c r="J92" s="503"/>
      <c r="K92" s="503"/>
      <c r="L92" s="503"/>
      <c r="M92" s="707"/>
      <c r="N92" s="711"/>
    </row>
    <row r="93" spans="2:14" x14ac:dyDescent="0.25">
      <c r="B93" s="711"/>
      <c r="C93" s="706"/>
      <c r="D93" s="503"/>
      <c r="E93" s="707"/>
      <c r="F93" s="718"/>
      <c r="G93" s="706"/>
      <c r="H93" s="503"/>
      <c r="I93" s="503"/>
      <c r="J93" s="503"/>
      <c r="K93" s="503"/>
      <c r="L93" s="503"/>
      <c r="M93" s="707"/>
      <c r="N93" s="711"/>
    </row>
    <row r="94" spans="2:14" x14ac:dyDescent="0.25">
      <c r="B94" s="711"/>
      <c r="C94" s="706"/>
      <c r="D94" s="503"/>
      <c r="E94" s="707"/>
      <c r="F94" s="718"/>
      <c r="G94" s="706"/>
      <c r="H94" s="503"/>
      <c r="I94" s="503"/>
      <c r="J94" s="503"/>
      <c r="K94" s="503"/>
      <c r="L94" s="503"/>
      <c r="M94" s="707"/>
      <c r="N94" s="711"/>
    </row>
    <row r="95" spans="2:14" x14ac:dyDescent="0.25">
      <c r="B95" s="711"/>
      <c r="C95" s="706"/>
      <c r="D95" s="503"/>
      <c r="E95" s="707"/>
      <c r="F95" s="718"/>
      <c r="G95" s="706"/>
      <c r="H95" s="503"/>
      <c r="I95" s="503"/>
      <c r="J95" s="503"/>
      <c r="K95" s="503"/>
      <c r="L95" s="503"/>
      <c r="M95" s="707"/>
      <c r="N95" s="711"/>
    </row>
    <row r="96" spans="2:14" x14ac:dyDescent="0.25">
      <c r="B96" s="711"/>
      <c r="C96" s="706"/>
      <c r="D96" s="503"/>
      <c r="E96" s="707"/>
      <c r="F96" s="718"/>
      <c r="G96" s="706"/>
      <c r="H96" s="503"/>
      <c r="I96" s="503"/>
      <c r="J96" s="503"/>
      <c r="K96" s="503"/>
      <c r="L96" s="503"/>
      <c r="M96" s="707"/>
      <c r="N96" s="711"/>
    </row>
    <row r="97" spans="2:14" x14ac:dyDescent="0.25">
      <c r="B97" s="711"/>
      <c r="C97" s="706"/>
      <c r="D97" s="503"/>
      <c r="E97" s="707"/>
      <c r="F97" s="718"/>
      <c r="G97" s="706"/>
      <c r="H97" s="503"/>
      <c r="I97" s="503"/>
      <c r="J97" s="503"/>
      <c r="K97" s="503"/>
      <c r="L97" s="503"/>
      <c r="M97" s="707"/>
      <c r="N97" s="711"/>
    </row>
    <row r="98" spans="2:14" x14ac:dyDescent="0.25">
      <c r="B98" s="711"/>
      <c r="C98" s="706"/>
      <c r="D98" s="503"/>
      <c r="E98" s="707"/>
      <c r="F98" s="718"/>
      <c r="G98" s="706"/>
      <c r="H98" s="503"/>
      <c r="I98" s="503"/>
      <c r="J98" s="503"/>
      <c r="K98" s="503"/>
      <c r="L98" s="503"/>
      <c r="M98" s="707"/>
      <c r="N98" s="711"/>
    </row>
    <row r="99" spans="2:14" x14ac:dyDescent="0.25">
      <c r="B99" s="711"/>
      <c r="C99" s="706"/>
      <c r="D99" s="503"/>
      <c r="E99" s="707"/>
      <c r="F99" s="718"/>
      <c r="G99" s="706"/>
      <c r="H99" s="503"/>
      <c r="I99" s="503"/>
      <c r="J99" s="503"/>
      <c r="K99" s="503"/>
      <c r="L99" s="503"/>
      <c r="M99" s="707"/>
      <c r="N99" s="711"/>
    </row>
    <row r="100" spans="2:14" x14ac:dyDescent="0.25">
      <c r="B100" s="711"/>
      <c r="C100" s="706"/>
      <c r="D100" s="503"/>
      <c r="E100" s="707"/>
      <c r="F100" s="718"/>
      <c r="G100" s="706"/>
      <c r="H100" s="503"/>
      <c r="I100" s="503"/>
      <c r="J100" s="503"/>
      <c r="K100" s="503"/>
      <c r="L100" s="503"/>
      <c r="M100" s="707"/>
      <c r="N100" s="711"/>
    </row>
    <row r="101" spans="2:14" x14ac:dyDescent="0.25">
      <c r="B101" s="711"/>
      <c r="C101" s="706"/>
      <c r="D101" s="503"/>
      <c r="E101" s="707"/>
      <c r="F101" s="718"/>
      <c r="G101" s="706"/>
      <c r="H101" s="503"/>
      <c r="I101" s="503"/>
      <c r="J101" s="503"/>
      <c r="K101" s="503"/>
      <c r="L101" s="503"/>
      <c r="M101" s="707"/>
      <c r="N101" s="711"/>
    </row>
    <row r="102" spans="2:14" x14ac:dyDescent="0.25">
      <c r="B102" s="711"/>
      <c r="C102" s="706"/>
      <c r="D102" s="503"/>
      <c r="E102" s="707"/>
      <c r="F102" s="718"/>
      <c r="G102" s="706"/>
      <c r="H102" s="503"/>
      <c r="I102" s="503"/>
      <c r="J102" s="503"/>
      <c r="K102" s="503"/>
      <c r="L102" s="503"/>
      <c r="M102" s="707"/>
      <c r="N102" s="711"/>
    </row>
    <row r="103" spans="2:14" x14ac:dyDescent="0.25">
      <c r="B103" s="711"/>
      <c r="C103" s="706"/>
      <c r="D103" s="503"/>
      <c r="E103" s="707"/>
      <c r="F103" s="718"/>
      <c r="G103" s="706"/>
      <c r="H103" s="503"/>
      <c r="I103" s="503"/>
      <c r="J103" s="503"/>
      <c r="K103" s="503"/>
      <c r="L103" s="503"/>
      <c r="M103" s="707"/>
      <c r="N103" s="711"/>
    </row>
    <row r="104" spans="2:14" x14ac:dyDescent="0.25">
      <c r="B104" s="711"/>
      <c r="C104" s="706"/>
      <c r="D104" s="503"/>
      <c r="E104" s="707"/>
      <c r="F104" s="718"/>
      <c r="G104" s="706"/>
      <c r="H104" s="503"/>
      <c r="I104" s="503"/>
      <c r="J104" s="503"/>
      <c r="K104" s="503"/>
      <c r="L104" s="503"/>
      <c r="M104" s="707"/>
      <c r="N104" s="711"/>
    </row>
    <row r="105" spans="2:14" x14ac:dyDescent="0.25">
      <c r="B105" s="711"/>
      <c r="C105" s="706"/>
      <c r="D105" s="503"/>
      <c r="E105" s="707"/>
      <c r="F105" s="718"/>
      <c r="G105" s="706"/>
      <c r="H105" s="503"/>
      <c r="I105" s="503"/>
      <c r="J105" s="503"/>
      <c r="K105" s="503"/>
      <c r="L105" s="503"/>
      <c r="M105" s="707"/>
      <c r="N105" s="711"/>
    </row>
    <row r="106" spans="2:14" ht="15" customHeight="1" x14ac:dyDescent="0.25">
      <c r="B106" s="712"/>
      <c r="C106" s="708"/>
      <c r="D106" s="709"/>
      <c r="E106" s="710"/>
      <c r="F106" s="819"/>
      <c r="G106" s="708"/>
      <c r="H106" s="709"/>
      <c r="I106" s="709"/>
      <c r="J106" s="709"/>
      <c r="K106" s="709"/>
      <c r="L106" s="709"/>
      <c r="M106" s="710"/>
      <c r="N106" s="712"/>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0"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5" zeroHeight="1" x14ac:dyDescent="0.25"/>
  <cols>
    <col min="1" max="1" width="25.28515625" style="520" customWidth="1"/>
    <col min="2" max="2" width="8.7109375" style="520" customWidth="1"/>
    <col min="3" max="3" width="42" style="520" customWidth="1"/>
    <col min="4" max="4" width="18.7109375" style="520" customWidth="1"/>
    <col min="5" max="5" width="32.42578125" style="520" customWidth="1"/>
    <col min="6" max="6" width="19.5703125" style="520" customWidth="1"/>
    <col min="7" max="7" width="32" style="520" bestFit="1" customWidth="1"/>
    <col min="8" max="8" width="8.7109375" style="520" customWidth="1"/>
    <col min="9" max="9" width="82.42578125" style="520" bestFit="1" customWidth="1"/>
    <col min="10" max="10" width="13.7109375" style="520" customWidth="1"/>
    <col min="11" max="11" width="35.28515625" style="520" bestFit="1" customWidth="1"/>
    <col min="12" max="12" width="8.7109375" style="520" customWidth="1"/>
    <col min="13" max="13" width="48.5703125" style="520" bestFit="1" customWidth="1"/>
    <col min="14" max="14" width="8.7109375" style="520" customWidth="1"/>
    <col min="15" max="15" width="33.5703125" style="520" bestFit="1" customWidth="1"/>
    <col min="16" max="16" width="8.7109375" style="520" customWidth="1"/>
    <col min="17" max="17" width="44" style="520" customWidth="1"/>
    <col min="18" max="18" width="8.7109375" style="520" customWidth="1"/>
    <col min="19" max="19" width="35.7109375" style="520" bestFit="1" customWidth="1"/>
    <col min="20" max="20" width="8.7109375" style="520" customWidth="1"/>
    <col min="21" max="21" width="61.5703125" style="520" customWidth="1"/>
    <col min="22" max="22" width="12" style="520" bestFit="1" customWidth="1"/>
    <col min="23" max="23" width="81.7109375" style="520" bestFit="1" customWidth="1"/>
    <col min="24" max="24" width="61.28515625" style="520" bestFit="1" customWidth="1"/>
    <col min="25" max="25" width="47.7109375" style="520" bestFit="1" customWidth="1"/>
    <col min="26" max="26" width="17" style="520" bestFit="1" customWidth="1"/>
    <col min="27" max="27" width="48.28515625" style="520" customWidth="1"/>
    <col min="28" max="28" width="17" style="520" bestFit="1" customWidth="1"/>
    <col min="29" max="29" width="48.28515625" style="520" customWidth="1"/>
    <col min="30" max="16380" width="2.7109375" style="520" hidden="1" customWidth="1"/>
    <col min="16381" max="16384" width="2.7109375" style="520" customWidth="1"/>
  </cols>
  <sheetData>
    <row r="1" spans="1:29" x14ac:dyDescent="0.25">
      <c r="A1" s="551" t="s">
        <v>438</v>
      </c>
      <c r="C1" s="551" t="s">
        <v>214</v>
      </c>
      <c r="E1" s="551" t="s">
        <v>218</v>
      </c>
      <c r="G1" s="551" t="s">
        <v>439</v>
      </c>
      <c r="I1" s="551" t="s">
        <v>440</v>
      </c>
      <c r="K1" s="551" t="s">
        <v>441</v>
      </c>
      <c r="M1" s="551" t="s">
        <v>222</v>
      </c>
      <c r="O1" s="551" t="s">
        <v>442</v>
      </c>
      <c r="Q1" s="551" t="s">
        <v>224</v>
      </c>
      <c r="S1" s="551" t="s">
        <v>443</v>
      </c>
      <c r="U1" s="551" t="s">
        <v>444</v>
      </c>
      <c r="W1" s="551" t="s">
        <v>445</v>
      </c>
      <c r="Y1" s="551" t="s">
        <v>264</v>
      </c>
      <c r="AA1" s="551" t="s">
        <v>446</v>
      </c>
      <c r="AC1" s="551" t="s">
        <v>447</v>
      </c>
    </row>
    <row r="2" spans="1:29" x14ac:dyDescent="0.25">
      <c r="A2" s="550" t="s">
        <v>214</v>
      </c>
      <c r="C2" s="512" t="s">
        <v>308</v>
      </c>
      <c r="E2" s="550" t="s">
        <v>320</v>
      </c>
      <c r="G2" s="550" t="s">
        <v>325</v>
      </c>
      <c r="I2" s="550" t="s">
        <v>377</v>
      </c>
      <c r="K2" s="550" t="s">
        <v>367</v>
      </c>
      <c r="M2" s="550" t="s">
        <v>334</v>
      </c>
      <c r="O2" s="550" t="s">
        <v>338</v>
      </c>
      <c r="Q2" s="550" t="s">
        <v>341</v>
      </c>
      <c r="S2" s="550" t="s">
        <v>363</v>
      </c>
      <c r="U2" s="550" t="s">
        <v>245</v>
      </c>
      <c r="W2" s="550" t="s">
        <v>252</v>
      </c>
      <c r="Y2" s="550" t="s">
        <v>271</v>
      </c>
      <c r="AA2" s="777" t="s">
        <v>368</v>
      </c>
      <c r="AC2" s="857" t="s">
        <v>106</v>
      </c>
    </row>
    <row r="3" spans="1:29" x14ac:dyDescent="0.25">
      <c r="A3" s="550" t="s">
        <v>218</v>
      </c>
      <c r="C3" s="512" t="s">
        <v>310</v>
      </c>
      <c r="E3" s="550" t="s">
        <v>321</v>
      </c>
      <c r="G3" s="550" t="s">
        <v>326</v>
      </c>
      <c r="I3" s="550" t="s">
        <v>378</v>
      </c>
      <c r="K3" s="550" t="s">
        <v>369</v>
      </c>
      <c r="M3" s="550" t="s">
        <v>336</v>
      </c>
      <c r="O3" s="552" t="s">
        <v>339</v>
      </c>
      <c r="Q3" s="550" t="s">
        <v>342</v>
      </c>
      <c r="S3" s="550" t="s">
        <v>364</v>
      </c>
      <c r="U3" s="550" t="s">
        <v>246</v>
      </c>
      <c r="W3" s="550" t="s">
        <v>248</v>
      </c>
      <c r="Y3" s="550" t="s">
        <v>273</v>
      </c>
      <c r="AA3" s="777"/>
      <c r="AC3" s="777"/>
    </row>
    <row r="4" spans="1:29" x14ac:dyDescent="0.25">
      <c r="A4" s="550" t="s">
        <v>219</v>
      </c>
      <c r="C4" s="512" t="s">
        <v>311</v>
      </c>
      <c r="E4" s="550" t="s">
        <v>322</v>
      </c>
      <c r="G4" s="550" t="s">
        <v>327</v>
      </c>
      <c r="I4" s="550" t="s">
        <v>379</v>
      </c>
      <c r="K4" s="550" t="s">
        <v>370</v>
      </c>
      <c r="M4" s="552" t="s">
        <v>337</v>
      </c>
      <c r="O4" s="777" t="s">
        <v>340</v>
      </c>
      <c r="Q4" s="550" t="s">
        <v>345</v>
      </c>
      <c r="S4" s="550" t="s">
        <v>365</v>
      </c>
      <c r="U4" s="550" t="s">
        <v>247</v>
      </c>
      <c r="W4" s="550" t="s">
        <v>253</v>
      </c>
      <c r="Y4" s="550" t="s">
        <v>272</v>
      </c>
      <c r="AA4" s="512"/>
      <c r="AC4" s="512"/>
    </row>
    <row r="5" spans="1:29" x14ac:dyDescent="0.25">
      <c r="A5" s="550" t="s">
        <v>220</v>
      </c>
      <c r="C5" s="512" t="s">
        <v>312</v>
      </c>
      <c r="E5" s="550" t="s">
        <v>323</v>
      </c>
      <c r="G5" s="550" t="s">
        <v>328</v>
      </c>
      <c r="I5" s="512"/>
      <c r="K5" s="550" t="s">
        <v>371</v>
      </c>
      <c r="M5" s="512"/>
      <c r="O5" s="512"/>
      <c r="Q5" s="550" t="s">
        <v>346</v>
      </c>
      <c r="S5" s="550" t="s">
        <v>366</v>
      </c>
      <c r="U5" s="550" t="s">
        <v>251</v>
      </c>
      <c r="W5" s="550" t="s">
        <v>249</v>
      </c>
      <c r="Y5" s="550"/>
      <c r="AA5" s="512"/>
      <c r="AC5" s="512"/>
    </row>
    <row r="6" spans="1:29" x14ac:dyDescent="0.25">
      <c r="A6" s="550" t="s">
        <v>221</v>
      </c>
      <c r="C6" s="512" t="s">
        <v>313</v>
      </c>
      <c r="E6" s="552" t="s">
        <v>324</v>
      </c>
      <c r="G6" s="550" t="s">
        <v>329</v>
      </c>
      <c r="I6" s="512"/>
      <c r="K6" s="550" t="s">
        <v>372</v>
      </c>
      <c r="M6" s="512"/>
      <c r="O6" s="512"/>
      <c r="Q6" s="550" t="s">
        <v>347</v>
      </c>
      <c r="S6" s="512"/>
      <c r="U6" s="550" t="s">
        <v>255</v>
      </c>
      <c r="W6" s="512"/>
      <c r="Y6" s="550"/>
      <c r="AA6" s="512"/>
      <c r="AC6" s="512"/>
    </row>
    <row r="7" spans="1:29" x14ac:dyDescent="0.25">
      <c r="A7" s="550" t="s">
        <v>222</v>
      </c>
      <c r="C7" s="512" t="s">
        <v>315</v>
      </c>
      <c r="E7" s="512"/>
      <c r="G7" s="550" t="s">
        <v>330</v>
      </c>
      <c r="I7" s="512"/>
      <c r="K7" s="550" t="s">
        <v>373</v>
      </c>
      <c r="M7" s="512"/>
      <c r="O7" s="512"/>
      <c r="Q7" s="550" t="s">
        <v>348</v>
      </c>
      <c r="S7" s="512"/>
      <c r="U7" s="550" t="s">
        <v>252</v>
      </c>
      <c r="W7" s="512"/>
      <c r="Y7" s="550"/>
      <c r="AA7" s="512"/>
      <c r="AC7" s="512"/>
    </row>
    <row r="8" spans="1:29" x14ac:dyDescent="0.25">
      <c r="A8" s="550" t="s">
        <v>223</v>
      </c>
      <c r="C8" s="512" t="s">
        <v>316</v>
      </c>
      <c r="E8" s="512"/>
      <c r="G8" s="550" t="s">
        <v>331</v>
      </c>
      <c r="I8" s="512"/>
      <c r="K8" s="552" t="s">
        <v>374</v>
      </c>
      <c r="M8" s="512"/>
      <c r="O8" s="512"/>
      <c r="Q8" s="550" t="s">
        <v>349</v>
      </c>
      <c r="S8" s="512"/>
      <c r="U8" s="550" t="s">
        <v>248</v>
      </c>
      <c r="W8" s="512"/>
      <c r="Y8" s="550"/>
      <c r="AA8" s="512"/>
      <c r="AC8" s="512"/>
    </row>
    <row r="9" spans="1:29" x14ac:dyDescent="0.25">
      <c r="A9" s="550" t="s">
        <v>224</v>
      </c>
      <c r="C9" s="512" t="s">
        <v>317</v>
      </c>
      <c r="E9" s="512"/>
      <c r="G9" s="552" t="s">
        <v>332</v>
      </c>
      <c r="I9" s="512"/>
      <c r="K9" s="550" t="s">
        <v>375</v>
      </c>
      <c r="M9" s="512"/>
      <c r="O9" s="512"/>
      <c r="Q9" s="550" t="s">
        <v>354</v>
      </c>
      <c r="S9" s="512"/>
      <c r="U9" s="550" t="s">
        <v>253</v>
      </c>
      <c r="W9" s="512"/>
      <c r="Y9" s="550"/>
      <c r="AA9" s="512"/>
      <c r="AC9" s="512"/>
    </row>
    <row r="10" spans="1:29" x14ac:dyDescent="0.25">
      <c r="A10" s="552" t="s">
        <v>225</v>
      </c>
      <c r="C10" s="512" t="s">
        <v>318</v>
      </c>
      <c r="E10" s="512"/>
      <c r="G10" s="552" t="s">
        <v>333</v>
      </c>
      <c r="I10" s="512"/>
      <c r="K10" s="550" t="s">
        <v>376</v>
      </c>
      <c r="M10" s="512"/>
      <c r="O10" s="512"/>
      <c r="Q10" s="550" t="s">
        <v>351</v>
      </c>
      <c r="S10" s="512"/>
      <c r="U10" s="552" t="s">
        <v>249</v>
      </c>
      <c r="W10" s="512"/>
      <c r="Y10" s="550"/>
      <c r="AA10" s="512"/>
      <c r="AC10" s="512"/>
    </row>
    <row r="11" spans="1:29" x14ac:dyDescent="0.25">
      <c r="A11" s="618" t="s">
        <v>226</v>
      </c>
      <c r="C11" s="512" t="s">
        <v>319</v>
      </c>
      <c r="E11" s="512"/>
      <c r="G11" s="512"/>
      <c r="I11" s="512"/>
      <c r="K11" s="512"/>
      <c r="M11" s="512"/>
      <c r="O11" s="512"/>
      <c r="Q11" s="550" t="s">
        <v>352</v>
      </c>
      <c r="S11" s="512"/>
      <c r="U11" s="512"/>
      <c r="W11" s="512"/>
      <c r="Y11" s="552"/>
      <c r="AA11" s="512"/>
      <c r="AC11" s="512"/>
    </row>
    <row r="12" spans="1:29" x14ac:dyDescent="0.25">
      <c r="A12" s="512"/>
      <c r="C12" s="512"/>
      <c r="E12" s="512"/>
      <c r="G12" s="512"/>
      <c r="I12" s="512"/>
      <c r="K12" s="512"/>
      <c r="M12" s="512"/>
      <c r="O12" s="512"/>
      <c r="Q12" s="550" t="s">
        <v>353</v>
      </c>
      <c r="S12" s="512"/>
      <c r="U12" s="512"/>
      <c r="W12" s="512"/>
      <c r="Y12" s="512"/>
      <c r="AA12" s="512"/>
      <c r="AC12" s="512"/>
    </row>
    <row r="13" spans="1:29" x14ac:dyDescent="0.25">
      <c r="A13" s="512"/>
      <c r="C13" s="512"/>
      <c r="E13" s="512"/>
      <c r="G13" s="512"/>
      <c r="I13" s="512"/>
      <c r="K13" s="512"/>
      <c r="M13" s="512"/>
      <c r="O13" s="512"/>
      <c r="Q13" s="550" t="s">
        <v>350</v>
      </c>
      <c r="S13" s="512"/>
      <c r="U13" s="512"/>
      <c r="W13" s="512"/>
      <c r="Y13" s="512"/>
      <c r="AA13" s="512"/>
      <c r="AC13" s="512"/>
    </row>
    <row r="14" spans="1:29" x14ac:dyDescent="0.25">
      <c r="A14" s="512"/>
      <c r="C14" s="512"/>
      <c r="E14" s="512"/>
      <c r="G14" s="512"/>
      <c r="I14" s="512"/>
      <c r="K14" s="512"/>
      <c r="M14" s="512"/>
      <c r="O14" s="512"/>
      <c r="Q14" s="550" t="s">
        <v>355</v>
      </c>
      <c r="S14" s="512"/>
      <c r="U14" s="512"/>
      <c r="W14" s="512"/>
      <c r="Y14" s="512"/>
      <c r="AA14" s="512"/>
      <c r="AC14" s="512"/>
    </row>
    <row r="15" spans="1:29" x14ac:dyDescent="0.25">
      <c r="A15" s="512"/>
      <c r="C15" s="512"/>
      <c r="E15" s="512"/>
      <c r="G15" s="512"/>
      <c r="I15" s="512"/>
      <c r="K15" s="512"/>
      <c r="M15" s="512"/>
      <c r="O15" s="512"/>
      <c r="Q15" s="550" t="s">
        <v>356</v>
      </c>
      <c r="S15" s="512"/>
      <c r="U15" s="512"/>
      <c r="W15" s="512"/>
      <c r="Y15" s="512"/>
      <c r="AA15" s="512"/>
      <c r="AC15" s="512"/>
    </row>
    <row r="16" spans="1:29" x14ac:dyDescent="0.25">
      <c r="A16" s="512"/>
      <c r="C16" s="512"/>
      <c r="E16" s="512"/>
      <c r="G16" s="512"/>
      <c r="I16" s="512"/>
      <c r="K16" s="512"/>
      <c r="M16" s="512"/>
      <c r="O16" s="512"/>
      <c r="Q16" s="550" t="s">
        <v>357</v>
      </c>
      <c r="S16" s="512"/>
      <c r="U16" s="512"/>
      <c r="W16" s="512"/>
      <c r="Y16" s="512"/>
      <c r="AA16" s="512"/>
      <c r="AC16" s="512"/>
    </row>
    <row r="17" spans="1:29" x14ac:dyDescent="0.25">
      <c r="A17" s="512"/>
      <c r="C17" s="512"/>
      <c r="E17" s="512"/>
      <c r="G17" s="512"/>
      <c r="I17" s="512"/>
      <c r="K17" s="512"/>
      <c r="M17" s="512"/>
      <c r="O17" s="512"/>
      <c r="Q17" s="550" t="s">
        <v>358</v>
      </c>
      <c r="S17" s="512"/>
      <c r="U17" s="512"/>
      <c r="W17" s="512"/>
      <c r="Y17" s="512"/>
      <c r="AA17" s="512"/>
      <c r="AC17" s="512"/>
    </row>
    <row r="18" spans="1:29" x14ac:dyDescent="0.25">
      <c r="A18" s="512"/>
      <c r="C18" s="512"/>
      <c r="E18" s="512"/>
      <c r="G18" s="512"/>
      <c r="I18" s="512"/>
      <c r="K18" s="512"/>
      <c r="M18" s="512"/>
      <c r="O18" s="512"/>
      <c r="Q18" s="550" t="s">
        <v>359</v>
      </c>
      <c r="S18" s="512"/>
      <c r="U18" s="512"/>
      <c r="W18" s="512"/>
      <c r="Y18" s="512"/>
      <c r="AA18" s="512"/>
      <c r="AC18" s="512"/>
    </row>
    <row r="19" spans="1:29" x14ac:dyDescent="0.25">
      <c r="A19" s="512"/>
      <c r="C19" s="512"/>
      <c r="E19" s="512"/>
      <c r="G19" s="512"/>
      <c r="I19" s="512"/>
      <c r="K19" s="512"/>
      <c r="M19" s="512"/>
      <c r="O19" s="512"/>
      <c r="Q19" s="550" t="s">
        <v>360</v>
      </c>
      <c r="S19" s="512"/>
      <c r="U19" s="512"/>
      <c r="W19" s="512"/>
      <c r="Y19" s="512"/>
      <c r="AA19" s="512"/>
      <c r="AC19" s="512"/>
    </row>
    <row r="20" spans="1:29" x14ac:dyDescent="0.25">
      <c r="A20" s="512"/>
      <c r="C20" s="512"/>
      <c r="E20" s="512"/>
      <c r="G20" s="512"/>
      <c r="I20" s="512"/>
      <c r="K20" s="512"/>
      <c r="M20" s="512"/>
      <c r="O20" s="512"/>
      <c r="Q20" s="552" t="s">
        <v>361</v>
      </c>
      <c r="S20" s="512"/>
      <c r="U20" s="512"/>
      <c r="W20" s="512"/>
      <c r="Y20" s="512"/>
      <c r="AA20" s="512"/>
      <c r="AC20" s="512"/>
    </row>
    <row r="21" spans="1:29" x14ac:dyDescent="0.25">
      <c r="A21" s="512"/>
      <c r="C21" s="512"/>
      <c r="E21" s="512"/>
      <c r="G21" s="512"/>
      <c r="I21" s="512"/>
      <c r="K21" s="512"/>
      <c r="M21" s="512"/>
      <c r="O21" s="512"/>
      <c r="Q21" s="552" t="s">
        <v>362</v>
      </c>
      <c r="S21" s="512"/>
      <c r="U21" s="512"/>
      <c r="W21" s="512"/>
      <c r="Y21" s="512"/>
      <c r="AA21" s="512"/>
      <c r="AC21" s="512"/>
    </row>
    <row r="22" spans="1:29" x14ac:dyDescent="0.25">
      <c r="A22" s="512"/>
      <c r="C22" s="512"/>
      <c r="E22" s="512"/>
      <c r="G22" s="512"/>
      <c r="I22" s="512"/>
      <c r="K22" s="512"/>
      <c r="M22" s="512"/>
      <c r="O22" s="512"/>
      <c r="Q22" s="512"/>
      <c r="S22" s="512"/>
      <c r="U22" s="512"/>
      <c r="W22" s="512"/>
      <c r="Y22" s="512"/>
      <c r="AA22" s="512"/>
      <c r="AC22" s="512"/>
    </row>
    <row r="23" spans="1:29" x14ac:dyDescent="0.25">
      <c r="A23" s="512"/>
      <c r="C23" s="512"/>
      <c r="E23" s="512"/>
      <c r="G23" s="512"/>
      <c r="I23" s="512"/>
      <c r="K23" s="512"/>
      <c r="M23" s="512"/>
      <c r="O23" s="512"/>
      <c r="Q23" s="512"/>
      <c r="S23" s="512"/>
      <c r="U23" s="512"/>
      <c r="W23" s="512"/>
      <c r="Y23" s="512"/>
      <c r="AA23" s="512"/>
      <c r="AC23" s="512"/>
    </row>
    <row r="24" spans="1:29" x14ac:dyDescent="0.25">
      <c r="A24" s="512"/>
      <c r="C24" s="512"/>
      <c r="E24" s="512"/>
      <c r="G24" s="512"/>
      <c r="I24" s="512"/>
      <c r="K24" s="512"/>
      <c r="M24" s="512"/>
      <c r="O24" s="512"/>
      <c r="Q24" s="512"/>
      <c r="S24" s="512"/>
      <c r="U24" s="512"/>
      <c r="W24" s="512"/>
      <c r="Y24" s="512"/>
      <c r="AA24" s="512"/>
      <c r="AC24" s="512"/>
    </row>
    <row r="25" spans="1:29" x14ac:dyDescent="0.25">
      <c r="A25" s="512"/>
      <c r="C25" s="512"/>
      <c r="E25" s="512"/>
      <c r="G25" s="512"/>
      <c r="I25" s="512"/>
      <c r="K25" s="512"/>
      <c r="M25" s="512"/>
      <c r="O25" s="512"/>
      <c r="Q25" s="512"/>
      <c r="S25" s="512"/>
      <c r="U25" s="512"/>
      <c r="W25" s="512"/>
      <c r="Y25" s="512"/>
      <c r="AA25" s="512"/>
      <c r="AC25" s="512"/>
    </row>
    <row r="28" spans="1:29" x14ac:dyDescent="0.25">
      <c r="A28" s="536" t="s">
        <v>380</v>
      </c>
      <c r="C28" s="536" t="s">
        <v>448</v>
      </c>
    </row>
    <row r="29" spans="1:29" x14ac:dyDescent="0.25">
      <c r="A29" s="505" t="s">
        <v>380</v>
      </c>
      <c r="C29" s="505" t="s">
        <v>238</v>
      </c>
    </row>
    <row r="32" spans="1:29" x14ac:dyDescent="0.25">
      <c r="A32" s="507"/>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row>
    <row r="33" spans="2:24" x14ac:dyDescent="0.25">
      <c r="J33" s="18" t="s">
        <v>449</v>
      </c>
      <c r="K33" s="18"/>
    </row>
    <row r="34" spans="2:24" x14ac:dyDescent="0.25">
      <c r="B34" s="17" t="s">
        <v>307</v>
      </c>
      <c r="C34" s="16"/>
      <c r="D34" s="15"/>
      <c r="F34" s="17" t="s">
        <v>450</v>
      </c>
      <c r="G34" s="16"/>
      <c r="H34" s="15"/>
      <c r="J34" s="536" t="s">
        <v>451</v>
      </c>
      <c r="K34" s="536" t="s">
        <v>452</v>
      </c>
      <c r="M34" s="99" t="s">
        <v>453</v>
      </c>
      <c r="N34" s="99"/>
      <c r="Q34" s="14" t="s">
        <v>454</v>
      </c>
      <c r="R34" s="14"/>
      <c r="S34" s="14"/>
      <c r="T34" s="14"/>
    </row>
    <row r="35" spans="2:24" x14ac:dyDescent="0.25">
      <c r="B35" s="535" t="s">
        <v>98</v>
      </c>
      <c r="C35" s="536" t="s">
        <v>455</v>
      </c>
      <c r="D35" s="536" t="s">
        <v>456</v>
      </c>
      <c r="F35" s="536" t="s">
        <v>455</v>
      </c>
      <c r="G35" s="535" t="s">
        <v>457</v>
      </c>
      <c r="H35" s="536" t="s">
        <v>458</v>
      </c>
      <c r="J35" s="505" t="s">
        <v>215</v>
      </c>
      <c r="K35" s="503">
        <v>1</v>
      </c>
      <c r="M35" s="536" t="s">
        <v>459</v>
      </c>
      <c r="N35" s="536" t="s">
        <v>458</v>
      </c>
      <c r="Q35" s="536" t="s">
        <v>460</v>
      </c>
      <c r="R35" s="536" t="s">
        <v>461</v>
      </c>
      <c r="S35" s="536" t="s">
        <v>462</v>
      </c>
      <c r="T35" s="536" t="s">
        <v>463</v>
      </c>
      <c r="W35" s="716" t="s">
        <v>464</v>
      </c>
      <c r="X35" s="717" t="s">
        <v>465</v>
      </c>
    </row>
    <row r="36" spans="2:24" ht="43.5" customHeight="1" x14ac:dyDescent="0.25">
      <c r="B36" s="505" t="s">
        <v>335</v>
      </c>
      <c r="C36" s="505" t="s">
        <v>466</v>
      </c>
      <c r="D36" s="503">
        <v>1.1499999999999999</v>
      </c>
      <c r="F36" s="505" t="s">
        <v>107</v>
      </c>
      <c r="G36" s="505" t="s">
        <v>467</v>
      </c>
      <c r="H36" s="503">
        <v>1.1499999999999999</v>
      </c>
      <c r="J36" s="505" t="s">
        <v>217</v>
      </c>
      <c r="K36" s="503">
        <v>0.67</v>
      </c>
      <c r="M36" s="1061" t="s">
        <v>468</v>
      </c>
      <c r="N36" s="1061">
        <v>1</v>
      </c>
      <c r="Q36" s="503" t="s">
        <v>469</v>
      </c>
      <c r="R36" s="503">
        <v>0.3</v>
      </c>
      <c r="S36" s="503">
        <f>R36*12</f>
        <v>3.5999999999999996</v>
      </c>
      <c r="T36" s="506">
        <f>3.14*(S36*S36)/10000</f>
        <v>4.0694399999999997E-3</v>
      </c>
      <c r="W36" s="512" t="s">
        <v>470</v>
      </c>
      <c r="X36" s="512" t="s">
        <v>471</v>
      </c>
    </row>
    <row r="37" spans="2:24" ht="55.5" customHeight="1" x14ac:dyDescent="0.25">
      <c r="B37" s="505" t="s">
        <v>217</v>
      </c>
      <c r="C37" s="505" t="s">
        <v>472</v>
      </c>
      <c r="D37" s="503">
        <v>1.1000000000000001</v>
      </c>
      <c r="F37" s="505" t="s">
        <v>188</v>
      </c>
      <c r="G37" s="505" t="s">
        <v>473</v>
      </c>
      <c r="H37" s="503">
        <v>1</v>
      </c>
      <c r="J37" s="505" t="s">
        <v>335</v>
      </c>
      <c r="K37" s="503">
        <v>0.33</v>
      </c>
      <c r="M37" s="1061" t="s">
        <v>474</v>
      </c>
      <c r="N37" s="1061">
        <v>0.75</v>
      </c>
      <c r="Q37" s="503" t="s">
        <v>217</v>
      </c>
      <c r="R37" s="503">
        <v>0.9</v>
      </c>
      <c r="S37" s="503">
        <f>R37*12</f>
        <v>10.8</v>
      </c>
      <c r="T37" s="506">
        <f>3.14*(S37*S37)/10000</f>
        <v>3.6624960000000005E-2</v>
      </c>
      <c r="W37" s="512" t="s">
        <v>475</v>
      </c>
      <c r="X37" s="512" t="s">
        <v>476</v>
      </c>
    </row>
    <row r="38" spans="2:24" ht="28.9" customHeight="1" x14ac:dyDescent="0.25">
      <c r="B38" s="511" t="s">
        <v>215</v>
      </c>
      <c r="C38" s="505" t="s">
        <v>477</v>
      </c>
      <c r="D38" s="503">
        <v>1</v>
      </c>
      <c r="F38" s="505"/>
      <c r="G38" s="505"/>
      <c r="H38" s="503"/>
      <c r="J38" s="505" t="s">
        <v>478</v>
      </c>
      <c r="K38" s="503">
        <v>0.1</v>
      </c>
      <c r="M38" s="1061" t="s">
        <v>479</v>
      </c>
      <c r="N38" s="1061">
        <v>0.5</v>
      </c>
      <c r="Q38" s="503" t="s">
        <v>480</v>
      </c>
      <c r="R38" s="503">
        <v>1.3</v>
      </c>
      <c r="S38" s="503">
        <f>R38*12</f>
        <v>15.600000000000001</v>
      </c>
      <c r="T38" s="506">
        <f>3.14*(S38*S38)/10000</f>
        <v>7.6415040000000017E-2</v>
      </c>
      <c r="W38" s="512" t="s">
        <v>481</v>
      </c>
      <c r="X38" s="512" t="s">
        <v>482</v>
      </c>
    </row>
    <row r="39" spans="2:24" x14ac:dyDescent="0.25">
      <c r="B39" s="511" t="s">
        <v>383</v>
      </c>
      <c r="C39" s="505" t="s">
        <v>483</v>
      </c>
      <c r="D39" s="503">
        <v>1</v>
      </c>
      <c r="W39" s="512" t="s">
        <v>484</v>
      </c>
      <c r="X39" s="512" t="s">
        <v>485</v>
      </c>
    </row>
    <row r="40" spans="2:24" x14ac:dyDescent="0.25">
      <c r="W40" s="512" t="s">
        <v>486</v>
      </c>
      <c r="X40" s="512" t="s">
        <v>487</v>
      </c>
    </row>
    <row r="41" spans="2:24" x14ac:dyDescent="0.25">
      <c r="W41" s="512" t="s">
        <v>488</v>
      </c>
      <c r="X41" s="512" t="s">
        <v>489</v>
      </c>
    </row>
    <row r="42" spans="2:24" x14ac:dyDescent="0.25">
      <c r="W42" s="512" t="s">
        <v>490</v>
      </c>
      <c r="X42" s="512"/>
    </row>
    <row r="43" spans="2:24" x14ac:dyDescent="0.25">
      <c r="W43" s="512" t="s">
        <v>491</v>
      </c>
      <c r="X43" s="512"/>
    </row>
    <row r="44" spans="2:24" x14ac:dyDescent="0.25">
      <c r="W44" s="512" t="s">
        <v>492</v>
      </c>
      <c r="X44" s="512"/>
    </row>
    <row r="45" spans="2:24" ht="28.5" customHeight="1" x14ac:dyDescent="0.45">
      <c r="B45" s="129" t="s">
        <v>493</v>
      </c>
      <c r="C45" s="13"/>
      <c r="D45" s="12"/>
      <c r="F45" s="129" t="s">
        <v>494</v>
      </c>
      <c r="G45" s="12"/>
      <c r="I45" s="11" t="s">
        <v>495</v>
      </c>
      <c r="J45" s="11"/>
      <c r="K45" s="11"/>
      <c r="M45" s="14" t="s">
        <v>105</v>
      </c>
      <c r="N45" s="14"/>
      <c r="O45" s="14"/>
      <c r="P45" s="14"/>
      <c r="S45" s="129" t="s">
        <v>496</v>
      </c>
      <c r="T45" s="13"/>
      <c r="U45" s="12"/>
      <c r="W45" s="512" t="s">
        <v>497</v>
      </c>
      <c r="X45" s="512"/>
    </row>
    <row r="46" spans="2:24" ht="43.15" customHeight="1" x14ac:dyDescent="0.25">
      <c r="B46" s="535" t="s">
        <v>498</v>
      </c>
      <c r="C46" s="535" t="s">
        <v>499</v>
      </c>
      <c r="D46" s="535" t="s">
        <v>500</v>
      </c>
      <c r="F46" s="535" t="s">
        <v>501</v>
      </c>
      <c r="G46" s="535" t="s">
        <v>502</v>
      </c>
      <c r="I46" s="535" t="s">
        <v>503</v>
      </c>
      <c r="J46" s="535" t="s">
        <v>504</v>
      </c>
      <c r="K46" s="535" t="s">
        <v>505</v>
      </c>
      <c r="M46" s="536" t="s">
        <v>460</v>
      </c>
      <c r="N46" s="536" t="s">
        <v>461</v>
      </c>
      <c r="O46" s="536" t="s">
        <v>462</v>
      </c>
      <c r="P46" s="536" t="s">
        <v>506</v>
      </c>
      <c r="S46" s="535" t="s">
        <v>498</v>
      </c>
      <c r="T46" s="535" t="s">
        <v>499</v>
      </c>
      <c r="U46" s="535" t="s">
        <v>500</v>
      </c>
      <c r="W46" s="512" t="s">
        <v>507</v>
      </c>
      <c r="X46" s="512"/>
    </row>
    <row r="47" spans="2:24" ht="57.6" customHeight="1" x14ac:dyDescent="0.25">
      <c r="B47" s="503" t="s">
        <v>217</v>
      </c>
      <c r="C47" s="503">
        <v>4</v>
      </c>
      <c r="D47" s="516" t="s">
        <v>309</v>
      </c>
      <c r="F47" s="503" t="s">
        <v>399</v>
      </c>
      <c r="G47" s="503">
        <v>3</v>
      </c>
      <c r="I47" s="518">
        <v>0</v>
      </c>
      <c r="J47" s="518">
        <v>100</v>
      </c>
      <c r="K47" s="519">
        <v>1</v>
      </c>
      <c r="M47" s="503" t="s">
        <v>469</v>
      </c>
      <c r="N47" s="503">
        <v>0.3</v>
      </c>
      <c r="O47" s="503">
        <f>N47*12</f>
        <v>3.5999999999999996</v>
      </c>
      <c r="P47" s="506">
        <f>3.14*(O47*O47)</f>
        <v>40.694399999999995</v>
      </c>
      <c r="S47" s="503" t="s">
        <v>217</v>
      </c>
      <c r="T47" s="503">
        <v>4</v>
      </c>
      <c r="U47" s="505" t="s">
        <v>309</v>
      </c>
      <c r="W47" s="512" t="s">
        <v>508</v>
      </c>
      <c r="X47" s="512"/>
    </row>
    <row r="48" spans="2:24" ht="43.15" customHeight="1" x14ac:dyDescent="0.25">
      <c r="B48" s="503" t="s">
        <v>215</v>
      </c>
      <c r="C48" s="503">
        <v>2</v>
      </c>
      <c r="D48" s="516" t="s">
        <v>314</v>
      </c>
      <c r="F48" s="503" t="s">
        <v>126</v>
      </c>
      <c r="G48" s="503">
        <v>2</v>
      </c>
      <c r="I48" s="518">
        <v>1</v>
      </c>
      <c r="J48" s="518">
        <v>96.5</v>
      </c>
      <c r="K48" s="519">
        <v>0.96499999999999997</v>
      </c>
      <c r="M48" s="503" t="s">
        <v>217</v>
      </c>
      <c r="N48" s="503">
        <v>0.6</v>
      </c>
      <c r="O48" s="503">
        <v>7.2</v>
      </c>
      <c r="P48" s="506">
        <f>3.14*(O48*O48)</f>
        <v>162.77760000000001</v>
      </c>
      <c r="S48" s="503" t="s">
        <v>215</v>
      </c>
      <c r="T48" s="503">
        <v>2</v>
      </c>
      <c r="U48" s="505" t="s">
        <v>314</v>
      </c>
      <c r="W48" s="512" t="s">
        <v>509</v>
      </c>
      <c r="X48" s="512"/>
    </row>
    <row r="49" spans="2:24" ht="28.9" customHeight="1" x14ac:dyDescent="0.25">
      <c r="B49" s="503" t="s">
        <v>343</v>
      </c>
      <c r="C49" s="503">
        <v>0</v>
      </c>
      <c r="D49" s="516" t="s">
        <v>344</v>
      </c>
      <c r="F49" s="505" t="s">
        <v>400</v>
      </c>
      <c r="G49" s="503">
        <v>1</v>
      </c>
      <c r="I49" s="518">
        <v>2</v>
      </c>
      <c r="J49" s="518">
        <v>93.122500000000002</v>
      </c>
      <c r="K49" s="519">
        <v>0.93122499999999997</v>
      </c>
      <c r="M49" s="503" t="s">
        <v>480</v>
      </c>
      <c r="N49" s="503">
        <v>0.9</v>
      </c>
      <c r="O49" s="503">
        <v>10.8</v>
      </c>
      <c r="P49" s="506">
        <f>3.14*(O49*O49)</f>
        <v>366.24960000000004</v>
      </c>
      <c r="S49" s="503" t="s">
        <v>343</v>
      </c>
      <c r="T49" s="503">
        <v>1</v>
      </c>
      <c r="U49" s="505" t="s">
        <v>344</v>
      </c>
      <c r="W49" s="512" t="s">
        <v>510</v>
      </c>
      <c r="X49" s="512"/>
    </row>
    <row r="50" spans="2:24" ht="57.6" customHeight="1" x14ac:dyDescent="0.25">
      <c r="B50" s="503" t="s">
        <v>335</v>
      </c>
      <c r="C50" s="503">
        <v>6</v>
      </c>
      <c r="D50" s="516" t="s">
        <v>309</v>
      </c>
      <c r="F50" s="505" t="s">
        <v>401</v>
      </c>
      <c r="G50" s="503">
        <v>1</v>
      </c>
      <c r="I50" s="518">
        <v>3</v>
      </c>
      <c r="J50" s="518">
        <v>89.863212500000003</v>
      </c>
      <c r="K50" s="519">
        <v>0.898632125</v>
      </c>
      <c r="M50" s="503" t="s">
        <v>511</v>
      </c>
      <c r="N50" s="503">
        <v>1.3</v>
      </c>
      <c r="O50" s="503">
        <v>15.6</v>
      </c>
      <c r="P50" s="506">
        <f>3.14*(O50*O50)</f>
        <v>764.15039999999999</v>
      </c>
      <c r="S50" s="503" t="s">
        <v>335</v>
      </c>
      <c r="T50" s="503">
        <v>6</v>
      </c>
      <c r="U50" s="505" t="s">
        <v>309</v>
      </c>
      <c r="W50" s="512" t="s">
        <v>512</v>
      </c>
      <c r="X50" s="512"/>
    </row>
    <row r="51" spans="2:24" x14ac:dyDescent="0.25">
      <c r="F51" s="503" t="s">
        <v>402</v>
      </c>
      <c r="G51" s="503">
        <v>0</v>
      </c>
      <c r="I51" s="518">
        <v>4</v>
      </c>
      <c r="J51" s="518">
        <v>86.718000059999994</v>
      </c>
      <c r="K51" s="519">
        <v>0.8671800006</v>
      </c>
      <c r="W51" s="512" t="s">
        <v>513</v>
      </c>
      <c r="X51" s="512"/>
    </row>
    <row r="52" spans="2:24" x14ac:dyDescent="0.25">
      <c r="I52" s="518">
        <v>5</v>
      </c>
      <c r="J52" s="518">
        <v>83.682870059999999</v>
      </c>
      <c r="K52" s="519">
        <v>0.83682870060000003</v>
      </c>
      <c r="W52" s="512" t="s">
        <v>514</v>
      </c>
      <c r="X52" s="512"/>
    </row>
    <row r="53" spans="2:24" x14ac:dyDescent="0.25">
      <c r="I53" s="518">
        <v>6</v>
      </c>
      <c r="J53" s="518">
        <v>80.753969609999999</v>
      </c>
      <c r="K53" s="519">
        <v>0.80753969609999998</v>
      </c>
      <c r="W53" s="512" t="s">
        <v>515</v>
      </c>
      <c r="X53" s="512"/>
    </row>
    <row r="54" spans="2:24" x14ac:dyDescent="0.25">
      <c r="I54" s="518">
        <v>7</v>
      </c>
      <c r="J54" s="518">
        <v>77.927580669999998</v>
      </c>
      <c r="K54" s="519">
        <v>0.77927580669999996</v>
      </c>
      <c r="W54" s="512" t="s">
        <v>516</v>
      </c>
      <c r="X54" s="512"/>
    </row>
    <row r="55" spans="2:24" ht="14.65" customHeight="1" x14ac:dyDescent="0.25">
      <c r="I55" s="518">
        <v>8</v>
      </c>
      <c r="J55" s="518">
        <v>75.200115350000004</v>
      </c>
      <c r="K55" s="519">
        <v>0.75200115349999996</v>
      </c>
      <c r="W55" s="512" t="s">
        <v>517</v>
      </c>
      <c r="X55" s="512"/>
    </row>
    <row r="56" spans="2:24" x14ac:dyDescent="0.25">
      <c r="I56" s="518">
        <v>9</v>
      </c>
      <c r="J56" s="518">
        <v>72.568111310000006</v>
      </c>
      <c r="K56" s="519">
        <v>0.72568111310000005</v>
      </c>
      <c r="W56" s="512" t="s">
        <v>518</v>
      </c>
      <c r="X56" s="512"/>
    </row>
    <row r="57" spans="2:24" x14ac:dyDescent="0.25">
      <c r="I57" s="518">
        <v>10</v>
      </c>
      <c r="J57" s="518">
        <v>70.028227419999993</v>
      </c>
      <c r="K57" s="519">
        <v>0.7002822742</v>
      </c>
      <c r="W57" s="512" t="s">
        <v>519</v>
      </c>
      <c r="X57" s="512"/>
    </row>
    <row r="58" spans="2:24" x14ac:dyDescent="0.25">
      <c r="I58" s="518">
        <v>11</v>
      </c>
      <c r="J58" s="518">
        <v>67.577239460000001</v>
      </c>
      <c r="K58" s="519">
        <v>0.67577239460000005</v>
      </c>
      <c r="W58" s="512" t="s">
        <v>520</v>
      </c>
      <c r="X58" s="512"/>
    </row>
    <row r="59" spans="2:24" x14ac:dyDescent="0.25">
      <c r="I59" s="518">
        <v>12</v>
      </c>
      <c r="J59" s="518">
        <v>65.212036069999996</v>
      </c>
      <c r="K59" s="519">
        <v>0.65212036070000001</v>
      </c>
      <c r="W59" s="512" t="s">
        <v>521</v>
      </c>
      <c r="X59" s="512"/>
    </row>
    <row r="60" spans="2:24" x14ac:dyDescent="0.25">
      <c r="I60" s="518">
        <v>13</v>
      </c>
      <c r="J60" s="518">
        <v>62.929614809999997</v>
      </c>
      <c r="K60" s="519">
        <v>0.62929614810000001</v>
      </c>
      <c r="W60" s="512" t="s">
        <v>522</v>
      </c>
      <c r="X60" s="512"/>
    </row>
    <row r="61" spans="2:24" x14ac:dyDescent="0.25">
      <c r="I61" s="518">
        <v>14</v>
      </c>
      <c r="J61" s="518">
        <v>60.727078290000001</v>
      </c>
      <c r="K61" s="519">
        <v>0.60727078290000003</v>
      </c>
      <c r="W61" s="512" t="s">
        <v>523</v>
      </c>
      <c r="X61" s="512"/>
    </row>
    <row r="62" spans="2:24" x14ac:dyDescent="0.25">
      <c r="I62" s="518">
        <v>15</v>
      </c>
      <c r="J62" s="518">
        <v>58.601630550000003</v>
      </c>
      <c r="K62" s="519">
        <v>0.58601630549999995</v>
      </c>
      <c r="W62" s="512" t="s">
        <v>524</v>
      </c>
      <c r="X62" s="512"/>
    </row>
    <row r="63" spans="2:24" x14ac:dyDescent="0.25">
      <c r="I63" s="518">
        <v>16</v>
      </c>
      <c r="J63" s="518">
        <v>56.550573479999997</v>
      </c>
      <c r="K63" s="519">
        <v>0.56550573479999999</v>
      </c>
      <c r="W63" s="512" t="s">
        <v>525</v>
      </c>
      <c r="X63" s="512"/>
    </row>
    <row r="64" spans="2:24" x14ac:dyDescent="0.25">
      <c r="I64" s="518">
        <v>17</v>
      </c>
      <c r="J64" s="518">
        <v>54.571303409999999</v>
      </c>
      <c r="K64" s="519">
        <v>0.54571303410000005</v>
      </c>
      <c r="W64" s="512" t="s">
        <v>526</v>
      </c>
      <c r="X64" s="512"/>
    </row>
    <row r="65" spans="9:24" x14ac:dyDescent="0.25">
      <c r="I65" s="518">
        <v>18</v>
      </c>
      <c r="J65" s="518">
        <v>52.661307790000002</v>
      </c>
      <c r="K65" s="519">
        <v>0.5266130779</v>
      </c>
      <c r="W65" s="512" t="s">
        <v>527</v>
      </c>
      <c r="X65" s="512"/>
    </row>
    <row r="66" spans="9:24" x14ac:dyDescent="0.25">
      <c r="I66" s="518">
        <v>19</v>
      </c>
      <c r="J66" s="518">
        <v>50.818162020000003</v>
      </c>
      <c r="K66" s="519">
        <v>0.50818162020000002</v>
      </c>
      <c r="W66" s="512" t="s">
        <v>528</v>
      </c>
      <c r="X66" s="512"/>
    </row>
    <row r="67" spans="9:24" x14ac:dyDescent="0.25">
      <c r="I67" s="518">
        <v>20</v>
      </c>
      <c r="J67" s="518">
        <v>49.039526350000003</v>
      </c>
      <c r="K67" s="519">
        <v>0.49039526350000001</v>
      </c>
      <c r="W67" s="512" t="s">
        <v>529</v>
      </c>
      <c r="X67" s="512"/>
    </row>
    <row r="68" spans="9:24" x14ac:dyDescent="0.25">
      <c r="I68" s="518">
        <v>21</v>
      </c>
      <c r="J68" s="518">
        <v>47.323142930000003</v>
      </c>
      <c r="K68" s="519">
        <v>0.47323142930000001</v>
      </c>
      <c r="W68" s="512" t="s">
        <v>530</v>
      </c>
      <c r="X68" s="512"/>
    </row>
    <row r="69" spans="9:24" x14ac:dyDescent="0.25">
      <c r="I69" s="518">
        <v>22</v>
      </c>
      <c r="J69" s="518">
        <v>45.666832919999997</v>
      </c>
      <c r="K69" s="519">
        <v>0.4566683292</v>
      </c>
      <c r="W69" s="512" t="s">
        <v>531</v>
      </c>
      <c r="X69" s="512"/>
    </row>
    <row r="70" spans="9:24" x14ac:dyDescent="0.25">
      <c r="I70" s="518">
        <v>23</v>
      </c>
      <c r="J70" s="518">
        <v>44.068493770000003</v>
      </c>
      <c r="K70" s="519">
        <v>0.4406849377</v>
      </c>
      <c r="W70" s="512" t="s">
        <v>532</v>
      </c>
      <c r="X70" s="512"/>
    </row>
    <row r="71" spans="9:24" x14ac:dyDescent="0.25">
      <c r="I71" s="518">
        <v>24</v>
      </c>
      <c r="J71" s="518">
        <v>42.52609649</v>
      </c>
      <c r="K71" s="519">
        <v>0.42526096489999998</v>
      </c>
      <c r="W71" s="512" t="s">
        <v>533</v>
      </c>
      <c r="X71" s="512"/>
    </row>
    <row r="72" spans="9:24" x14ac:dyDescent="0.25">
      <c r="I72" s="518">
        <v>25</v>
      </c>
      <c r="J72" s="518">
        <v>41.037683110000003</v>
      </c>
      <c r="K72" s="519">
        <v>0.41037683110000001</v>
      </c>
      <c r="W72" s="512" t="s">
        <v>534</v>
      </c>
      <c r="X72" s="512"/>
    </row>
    <row r="73" spans="9:24" x14ac:dyDescent="0.25">
      <c r="I73" s="518">
        <v>26</v>
      </c>
      <c r="J73" s="518">
        <v>39.601364199999999</v>
      </c>
      <c r="K73" s="519">
        <v>0.396013642</v>
      </c>
      <c r="W73" s="512" t="s">
        <v>535</v>
      </c>
      <c r="X73" s="512"/>
    </row>
    <row r="74" spans="9:24" x14ac:dyDescent="0.25">
      <c r="I74" s="518">
        <v>27</v>
      </c>
      <c r="J74" s="518">
        <v>38.215316459999997</v>
      </c>
      <c r="K74" s="519">
        <v>0.38215316459999998</v>
      </c>
      <c r="W74" s="512" t="s">
        <v>536</v>
      </c>
      <c r="X74" s="512"/>
    </row>
    <row r="75" spans="9:24" x14ac:dyDescent="0.25">
      <c r="I75" s="518">
        <v>28</v>
      </c>
      <c r="J75" s="518">
        <v>36.877780379999997</v>
      </c>
      <c r="K75" s="519">
        <v>0.36877780380000003</v>
      </c>
      <c r="W75" s="512" t="s">
        <v>537</v>
      </c>
      <c r="X75" s="512"/>
    </row>
    <row r="76" spans="9:24" x14ac:dyDescent="0.25">
      <c r="I76" s="518">
        <v>29</v>
      </c>
      <c r="J76" s="518">
        <v>35.587058069999998</v>
      </c>
      <c r="K76" s="519">
        <v>0.35587058069999999</v>
      </c>
      <c r="W76" s="512" t="s">
        <v>538</v>
      </c>
      <c r="X76" s="512"/>
    </row>
    <row r="77" spans="9:24" x14ac:dyDescent="0.25">
      <c r="I77" s="518">
        <v>30</v>
      </c>
      <c r="J77" s="518">
        <v>34.34151104</v>
      </c>
      <c r="K77" s="519">
        <v>0.3434151104</v>
      </c>
      <c r="W77" s="512" t="s">
        <v>539</v>
      </c>
      <c r="X77" s="512"/>
    </row>
    <row r="78" spans="9:24" x14ac:dyDescent="0.25">
      <c r="I78" s="518">
        <v>31</v>
      </c>
      <c r="J78" s="518">
        <v>33.139558149999999</v>
      </c>
      <c r="K78" s="519">
        <v>0.33139558149999998</v>
      </c>
      <c r="W78" s="512" t="s">
        <v>540</v>
      </c>
      <c r="X78" s="512"/>
    </row>
    <row r="79" spans="9:24" x14ac:dyDescent="0.25">
      <c r="I79" s="518" t="s">
        <v>421</v>
      </c>
      <c r="J79" s="514">
        <v>31.979673609999999</v>
      </c>
      <c r="K79" s="519">
        <v>0.31979673609999998</v>
      </c>
      <c r="W79" s="512" t="s">
        <v>541</v>
      </c>
      <c r="X79" s="512"/>
    </row>
    <row r="80" spans="9:24" x14ac:dyDescent="0.25">
      <c r="I80" s="505" t="s">
        <v>404</v>
      </c>
      <c r="J80" s="505" t="s">
        <v>383</v>
      </c>
      <c r="K80" s="505" t="s">
        <v>383</v>
      </c>
      <c r="W80" s="512" t="s">
        <v>542</v>
      </c>
      <c r="X80" s="512"/>
    </row>
    <row r="81" spans="23:24" x14ac:dyDescent="0.25">
      <c r="W81" s="512" t="s">
        <v>543</v>
      </c>
      <c r="X81" s="512"/>
    </row>
    <row r="82" spans="23:24" x14ac:dyDescent="0.25">
      <c r="W82" s="512" t="s">
        <v>544</v>
      </c>
      <c r="X82" s="512"/>
    </row>
    <row r="83" spans="23:24" x14ac:dyDescent="0.25">
      <c r="W83" s="512" t="s">
        <v>545</v>
      </c>
      <c r="X83" s="512"/>
    </row>
    <row r="84" spans="23:24" x14ac:dyDescent="0.25">
      <c r="W84" s="512" t="s">
        <v>546</v>
      </c>
      <c r="X84" s="512"/>
    </row>
    <row r="85" spans="23:24" x14ac:dyDescent="0.25">
      <c r="W85" s="512" t="s">
        <v>547</v>
      </c>
      <c r="X85" s="512"/>
    </row>
    <row r="86" spans="23:24" x14ac:dyDescent="0.25">
      <c r="W86" s="512" t="s">
        <v>548</v>
      </c>
      <c r="X86" s="512"/>
    </row>
    <row r="87" spans="23:24" x14ac:dyDescent="0.25">
      <c r="W87" s="512" t="s">
        <v>549</v>
      </c>
      <c r="X87" s="512"/>
    </row>
    <row r="88" spans="23:24" x14ac:dyDescent="0.25">
      <c r="W88" s="512" t="s">
        <v>550</v>
      </c>
      <c r="X88" s="512"/>
    </row>
    <row r="89" spans="23:24" x14ac:dyDescent="0.25">
      <c r="W89" s="512" t="s">
        <v>551</v>
      </c>
      <c r="X89" s="512"/>
    </row>
    <row r="90" spans="23:24" x14ac:dyDescent="0.25">
      <c r="W90" s="512" t="s">
        <v>552</v>
      </c>
      <c r="X90" s="512"/>
    </row>
    <row r="91" spans="23:24" x14ac:dyDescent="0.25">
      <c r="W91" s="512" t="s">
        <v>553</v>
      </c>
      <c r="X91" s="512"/>
    </row>
    <row r="92" spans="23:24" x14ac:dyDescent="0.25">
      <c r="W92" s="512" t="s">
        <v>554</v>
      </c>
      <c r="X92" s="512"/>
    </row>
    <row r="93" spans="23:24" x14ac:dyDescent="0.25">
      <c r="W93" s="512" t="s">
        <v>555</v>
      </c>
      <c r="X93" s="512"/>
    </row>
    <row r="94" spans="23:24" x14ac:dyDescent="0.25">
      <c r="W94" s="512" t="s">
        <v>556</v>
      </c>
      <c r="X94" s="512"/>
    </row>
    <row r="95" spans="23:24" x14ac:dyDescent="0.25">
      <c r="W95" s="512" t="s">
        <v>557</v>
      </c>
      <c r="X95" s="512"/>
    </row>
    <row r="96" spans="23:24" x14ac:dyDescent="0.25">
      <c r="W96" s="512" t="s">
        <v>558</v>
      </c>
      <c r="X96" s="512"/>
    </row>
    <row r="97" spans="23:24" x14ac:dyDescent="0.25">
      <c r="W97" s="512" t="s">
        <v>559</v>
      </c>
      <c r="X97" s="512"/>
    </row>
    <row r="98" spans="23:24" x14ac:dyDescent="0.25">
      <c r="W98" s="512" t="s">
        <v>560</v>
      </c>
      <c r="X98" s="512"/>
    </row>
    <row r="99" spans="23:24" x14ac:dyDescent="0.25">
      <c r="W99" s="512" t="s">
        <v>561</v>
      </c>
      <c r="X99" s="512"/>
    </row>
    <row r="100" spans="23:24" x14ac:dyDescent="0.25">
      <c r="W100" s="512" t="s">
        <v>562</v>
      </c>
      <c r="X100" s="512"/>
    </row>
    <row r="101" spans="23:24" x14ac:dyDescent="0.25">
      <c r="W101" s="512" t="s">
        <v>563</v>
      </c>
      <c r="X101" s="512"/>
    </row>
    <row r="102" spans="23:24" x14ac:dyDescent="0.25">
      <c r="W102" s="512" t="s">
        <v>564</v>
      </c>
      <c r="X102" s="512"/>
    </row>
    <row r="103" spans="23:24" x14ac:dyDescent="0.25">
      <c r="W103" s="512" t="s">
        <v>565</v>
      </c>
      <c r="X103" s="512"/>
    </row>
    <row r="104" spans="23:24" x14ac:dyDescent="0.25">
      <c r="W104" s="512" t="s">
        <v>566</v>
      </c>
      <c r="X104" s="512"/>
    </row>
    <row r="105" spans="23:24" x14ac:dyDescent="0.25">
      <c r="W105" s="512" t="s">
        <v>567</v>
      </c>
      <c r="X105" s="512"/>
    </row>
    <row r="106" spans="23:24" x14ac:dyDescent="0.25">
      <c r="W106" s="512" t="s">
        <v>568</v>
      </c>
      <c r="X106" s="512"/>
    </row>
    <row r="107" spans="23:24" x14ac:dyDescent="0.25">
      <c r="W107" s="512" t="s">
        <v>569</v>
      </c>
      <c r="X107" s="512"/>
    </row>
    <row r="108" spans="23:24" x14ac:dyDescent="0.25">
      <c r="W108" s="512" t="s">
        <v>570</v>
      </c>
      <c r="X108" s="512"/>
    </row>
    <row r="109" spans="23:24" x14ac:dyDescent="0.25">
      <c r="W109" s="512" t="s">
        <v>571</v>
      </c>
      <c r="X109" s="512"/>
    </row>
    <row r="110" spans="23:24" x14ac:dyDescent="0.25">
      <c r="W110" s="512" t="s">
        <v>572</v>
      </c>
      <c r="X110" s="512"/>
    </row>
    <row r="111" spans="23:24" x14ac:dyDescent="0.25">
      <c r="W111" s="512" t="s">
        <v>573</v>
      </c>
      <c r="X111" s="512"/>
    </row>
    <row r="112" spans="23:24" x14ac:dyDescent="0.25">
      <c r="W112" s="512" t="s">
        <v>574</v>
      </c>
      <c r="X112" s="512"/>
    </row>
    <row r="113" spans="23:24" x14ac:dyDescent="0.25">
      <c r="W113" s="512" t="s">
        <v>575</v>
      </c>
      <c r="X113" s="512"/>
    </row>
    <row r="114" spans="23:24" x14ac:dyDescent="0.25">
      <c r="W114" s="512" t="s">
        <v>576</v>
      </c>
      <c r="X114" s="512"/>
    </row>
    <row r="115" spans="23:24" x14ac:dyDescent="0.25">
      <c r="W115" s="512" t="s">
        <v>577</v>
      </c>
      <c r="X115" s="512"/>
    </row>
    <row r="116" spans="23:24" x14ac:dyDescent="0.25">
      <c r="W116" s="512" t="s">
        <v>578</v>
      </c>
      <c r="X116" s="512"/>
    </row>
    <row r="117" spans="23:24" x14ac:dyDescent="0.25">
      <c r="W117" s="512" t="s">
        <v>579</v>
      </c>
      <c r="X117" s="512"/>
    </row>
    <row r="118" spans="23:24" x14ac:dyDescent="0.25">
      <c r="W118" s="512" t="s">
        <v>580</v>
      </c>
      <c r="X118" s="512"/>
    </row>
    <row r="119" spans="23:24" x14ac:dyDescent="0.25">
      <c r="W119" s="512" t="s">
        <v>581</v>
      </c>
      <c r="X119" s="512"/>
    </row>
    <row r="120" spans="23:24" x14ac:dyDescent="0.25">
      <c r="W120" s="512" t="s">
        <v>582</v>
      </c>
      <c r="X120" s="512"/>
    </row>
    <row r="121" spans="23:24" x14ac:dyDescent="0.25">
      <c r="W121" s="512" t="s">
        <v>583</v>
      </c>
      <c r="X121" s="512"/>
    </row>
    <row r="122" spans="23:24" x14ac:dyDescent="0.25">
      <c r="W122" s="512" t="s">
        <v>584</v>
      </c>
      <c r="X122" s="512"/>
    </row>
    <row r="123" spans="23:24" x14ac:dyDescent="0.25">
      <c r="W123" s="512" t="s">
        <v>585</v>
      </c>
      <c r="X123" s="512"/>
    </row>
    <row r="124" spans="23:24" x14ac:dyDescent="0.25">
      <c r="W124" s="512" t="s">
        <v>586</v>
      </c>
      <c r="X124" s="512"/>
    </row>
    <row r="125" spans="23:24" x14ac:dyDescent="0.25">
      <c r="W125" s="512" t="s">
        <v>587</v>
      </c>
      <c r="X125" s="512"/>
    </row>
    <row r="126" spans="23:24" x14ac:dyDescent="0.25">
      <c r="W126" s="512" t="s">
        <v>588</v>
      </c>
      <c r="X126" s="512"/>
    </row>
    <row r="127" spans="23:24" x14ac:dyDescent="0.25">
      <c r="W127" s="512" t="s">
        <v>589</v>
      </c>
      <c r="X127" s="512"/>
    </row>
    <row r="128" spans="23:24" x14ac:dyDescent="0.25">
      <c r="W128" s="512" t="s">
        <v>590</v>
      </c>
      <c r="X128" s="512"/>
    </row>
    <row r="129" spans="23:24" x14ac:dyDescent="0.25">
      <c r="W129" s="512" t="s">
        <v>591</v>
      </c>
      <c r="X129" s="512"/>
    </row>
    <row r="130" spans="23:24" x14ac:dyDescent="0.25">
      <c r="W130" s="512" t="s">
        <v>592</v>
      </c>
      <c r="X130" s="512"/>
    </row>
    <row r="131" spans="23:24" x14ac:dyDescent="0.25">
      <c r="W131" s="512" t="s">
        <v>593</v>
      </c>
      <c r="X131" s="512"/>
    </row>
    <row r="132" spans="23:24" x14ac:dyDescent="0.25">
      <c r="W132" s="512" t="s">
        <v>594</v>
      </c>
      <c r="X132" s="512"/>
    </row>
    <row r="133" spans="23:24" x14ac:dyDescent="0.25">
      <c r="W133" s="512" t="s">
        <v>595</v>
      </c>
      <c r="X133" s="512"/>
    </row>
    <row r="134" spans="23:24" x14ac:dyDescent="0.25">
      <c r="W134" s="512" t="s">
        <v>596</v>
      </c>
      <c r="X134" s="512"/>
    </row>
    <row r="135" spans="23:24" x14ac:dyDescent="0.25">
      <c r="W135" s="512" t="s">
        <v>597</v>
      </c>
      <c r="X135" s="512"/>
    </row>
    <row r="136" spans="23:24" x14ac:dyDescent="0.25">
      <c r="W136" s="512" t="s">
        <v>598</v>
      </c>
      <c r="X136" s="512"/>
    </row>
    <row r="137" spans="23:24" x14ac:dyDescent="0.25">
      <c r="W137" s="512" t="s">
        <v>599</v>
      </c>
      <c r="X137" s="512"/>
    </row>
    <row r="138" spans="23:24" x14ac:dyDescent="0.25">
      <c r="W138" s="512" t="s">
        <v>600</v>
      </c>
      <c r="X138" s="512"/>
    </row>
    <row r="139" spans="23:24" x14ac:dyDescent="0.25">
      <c r="W139" s="512" t="s">
        <v>601</v>
      </c>
      <c r="X139" s="512"/>
    </row>
    <row r="140" spans="23:24" x14ac:dyDescent="0.25">
      <c r="W140" s="512" t="s">
        <v>602</v>
      </c>
      <c r="X140" s="512"/>
    </row>
    <row r="141" spans="23:24" x14ac:dyDescent="0.25">
      <c r="W141" s="512" t="s">
        <v>603</v>
      </c>
      <c r="X141" s="512"/>
    </row>
    <row r="142" spans="23:24" x14ac:dyDescent="0.25">
      <c r="W142" s="512" t="s">
        <v>604</v>
      </c>
      <c r="X142" s="512"/>
    </row>
    <row r="143" spans="23:24" x14ac:dyDescent="0.25">
      <c r="W143" s="512" t="s">
        <v>605</v>
      </c>
      <c r="X143" s="512"/>
    </row>
    <row r="144" spans="23:24" x14ac:dyDescent="0.25">
      <c r="W144" s="512" t="s">
        <v>606</v>
      </c>
      <c r="X144" s="512"/>
    </row>
    <row r="145" spans="23:24" x14ac:dyDescent="0.25">
      <c r="W145" s="512" t="s">
        <v>607</v>
      </c>
      <c r="X145" s="512"/>
    </row>
    <row r="146" spans="23:24" x14ac:dyDescent="0.25">
      <c r="W146" s="512" t="s">
        <v>608</v>
      </c>
      <c r="X146" s="512"/>
    </row>
    <row r="147" spans="23:24" x14ac:dyDescent="0.25">
      <c r="W147" s="512" t="s">
        <v>609</v>
      </c>
      <c r="X147" s="512"/>
    </row>
    <row r="148" spans="23:24" x14ac:dyDescent="0.25">
      <c r="W148" s="512" t="s">
        <v>610</v>
      </c>
      <c r="X148" s="512"/>
    </row>
    <row r="149" spans="23:24" x14ac:dyDescent="0.25">
      <c r="W149" s="512" t="s">
        <v>611</v>
      </c>
      <c r="X149" s="512"/>
    </row>
    <row r="150" spans="23:24" x14ac:dyDescent="0.25">
      <c r="W150" s="512" t="s">
        <v>612</v>
      </c>
      <c r="X150" s="512"/>
    </row>
    <row r="151" spans="23:24" x14ac:dyDescent="0.25">
      <c r="W151" s="512" t="s">
        <v>613</v>
      </c>
      <c r="X151" s="512"/>
    </row>
    <row r="152" spans="23:24" x14ac:dyDescent="0.25">
      <c r="W152" s="512" t="s">
        <v>614</v>
      </c>
      <c r="X152" s="512"/>
    </row>
    <row r="153" spans="23:24" x14ac:dyDescent="0.25">
      <c r="W153" s="512" t="s">
        <v>615</v>
      </c>
      <c r="X153" s="512"/>
    </row>
    <row r="154" spans="23:24" x14ac:dyDescent="0.25">
      <c r="W154" s="512" t="s">
        <v>616</v>
      </c>
      <c r="X154" s="512"/>
    </row>
    <row r="155" spans="23:24" x14ac:dyDescent="0.25">
      <c r="W155" s="512" t="s">
        <v>617</v>
      </c>
      <c r="X155" s="512"/>
    </row>
    <row r="156" spans="23:24" x14ac:dyDescent="0.25">
      <c r="W156" s="512" t="s">
        <v>618</v>
      </c>
      <c r="X156" s="512"/>
    </row>
    <row r="157" spans="23:24" x14ac:dyDescent="0.25">
      <c r="W157" s="512" t="s">
        <v>619</v>
      </c>
      <c r="X157" s="512"/>
    </row>
    <row r="158" spans="23:24" x14ac:dyDescent="0.25">
      <c r="W158" s="512" t="s">
        <v>620</v>
      </c>
      <c r="X158" s="512"/>
    </row>
    <row r="159" spans="23:24" x14ac:dyDescent="0.25">
      <c r="W159" s="512" t="s">
        <v>621</v>
      </c>
      <c r="X159" s="512"/>
    </row>
    <row r="160" spans="23:24" x14ac:dyDescent="0.25">
      <c r="W160" s="512" t="s">
        <v>622</v>
      </c>
      <c r="X160" s="512"/>
    </row>
    <row r="161" spans="23:24" x14ac:dyDescent="0.25">
      <c r="W161" s="512" t="s">
        <v>623</v>
      </c>
      <c r="X161" s="512"/>
    </row>
    <row r="162" spans="23:24" x14ac:dyDescent="0.25">
      <c r="W162" s="512" t="s">
        <v>624</v>
      </c>
      <c r="X162" s="512"/>
    </row>
    <row r="163" spans="23:24" x14ac:dyDescent="0.25">
      <c r="W163" s="512" t="s">
        <v>625</v>
      </c>
      <c r="X163" s="512"/>
    </row>
    <row r="164" spans="23:24" x14ac:dyDescent="0.25">
      <c r="W164" s="512" t="s">
        <v>626</v>
      </c>
      <c r="X164" s="512"/>
    </row>
    <row r="165" spans="23:24" x14ac:dyDescent="0.25">
      <c r="W165" s="512" t="s">
        <v>627</v>
      </c>
      <c r="X165" s="512"/>
    </row>
    <row r="166" spans="23:24" x14ac:dyDescent="0.25">
      <c r="W166" s="512" t="s">
        <v>628</v>
      </c>
      <c r="X166" s="512"/>
    </row>
    <row r="167" spans="23:24" x14ac:dyDescent="0.25">
      <c r="W167" s="512" t="s">
        <v>629</v>
      </c>
      <c r="X167" s="512"/>
    </row>
    <row r="168" spans="23:24" x14ac:dyDescent="0.25">
      <c r="W168" s="512" t="s">
        <v>630</v>
      </c>
      <c r="X168" s="512"/>
    </row>
    <row r="169" spans="23:24" x14ac:dyDescent="0.25">
      <c r="W169" s="512" t="s">
        <v>631</v>
      </c>
      <c r="X169" s="512"/>
    </row>
    <row r="170" spans="23:24" x14ac:dyDescent="0.25">
      <c r="W170" s="512" t="s">
        <v>632</v>
      </c>
      <c r="X170" s="512"/>
    </row>
    <row r="171" spans="23:24" x14ac:dyDescent="0.25">
      <c r="W171" s="512" t="s">
        <v>633</v>
      </c>
      <c r="X171" s="512"/>
    </row>
    <row r="172" spans="23:24" x14ac:dyDescent="0.25">
      <c r="W172" s="512" t="s">
        <v>634</v>
      </c>
      <c r="X172" s="512"/>
    </row>
    <row r="173" spans="23:24" x14ac:dyDescent="0.25">
      <c r="W173" s="512" t="s">
        <v>635</v>
      </c>
      <c r="X173" s="512"/>
    </row>
    <row r="174" spans="23:24" x14ac:dyDescent="0.25">
      <c r="W174" s="512" t="s">
        <v>636</v>
      </c>
      <c r="X174" s="512"/>
    </row>
    <row r="175" spans="23:24" x14ac:dyDescent="0.25">
      <c r="W175" s="512" t="s">
        <v>637</v>
      </c>
      <c r="X175" s="512"/>
    </row>
    <row r="176" spans="23:24" x14ac:dyDescent="0.25">
      <c r="W176" s="512" t="s">
        <v>638</v>
      </c>
      <c r="X176" s="512"/>
    </row>
    <row r="177" spans="23:24" x14ac:dyDescent="0.25">
      <c r="W177" s="512" t="s">
        <v>639</v>
      </c>
      <c r="X177" s="512"/>
    </row>
    <row r="178" spans="23:24" x14ac:dyDescent="0.25">
      <c r="W178" s="512" t="s">
        <v>640</v>
      </c>
      <c r="X178" s="512"/>
    </row>
    <row r="179" spans="23:24" x14ac:dyDescent="0.25">
      <c r="W179" s="512" t="s">
        <v>641</v>
      </c>
      <c r="X179" s="512"/>
    </row>
    <row r="180" spans="23:24" x14ac:dyDescent="0.25">
      <c r="W180" s="512" t="s">
        <v>642</v>
      </c>
      <c r="X180" s="512"/>
    </row>
    <row r="181" spans="23:24" x14ac:dyDescent="0.25">
      <c r="W181" s="512" t="s">
        <v>643</v>
      </c>
      <c r="X181" s="512"/>
    </row>
    <row r="182" spans="23:24" x14ac:dyDescent="0.25">
      <c r="W182" s="512" t="s">
        <v>644</v>
      </c>
      <c r="X182" s="512"/>
    </row>
    <row r="183" spans="23:24" x14ac:dyDescent="0.25">
      <c r="W183" s="512" t="s">
        <v>645</v>
      </c>
      <c r="X183" s="512"/>
    </row>
    <row r="184" spans="23:24" x14ac:dyDescent="0.25">
      <c r="W184" s="512" t="s">
        <v>646</v>
      </c>
      <c r="X184" s="512"/>
    </row>
    <row r="185" spans="23:24" x14ac:dyDescent="0.25">
      <c r="W185" s="512" t="s">
        <v>647</v>
      </c>
      <c r="X185" s="512"/>
    </row>
    <row r="186" spans="23:24" x14ac:dyDescent="0.25">
      <c r="W186" s="512" t="s">
        <v>648</v>
      </c>
      <c r="X186" s="512"/>
    </row>
    <row r="187" spans="23:24" x14ac:dyDescent="0.25">
      <c r="W187" s="512" t="s">
        <v>649</v>
      </c>
      <c r="X187" s="512"/>
    </row>
    <row r="188" spans="23:24" x14ac:dyDescent="0.25">
      <c r="W188" s="512" t="s">
        <v>650</v>
      </c>
      <c r="X188" s="512"/>
    </row>
    <row r="189" spans="23:24" x14ac:dyDescent="0.25">
      <c r="W189" s="512" t="s">
        <v>651</v>
      </c>
      <c r="X189" s="512"/>
    </row>
    <row r="190" spans="23:24" x14ac:dyDescent="0.25">
      <c r="W190" s="512" t="s">
        <v>652</v>
      </c>
      <c r="X190" s="512"/>
    </row>
    <row r="191" spans="23:24" x14ac:dyDescent="0.25">
      <c r="W191" s="512" t="s">
        <v>653</v>
      </c>
      <c r="X191" s="512"/>
    </row>
    <row r="192" spans="23:24" x14ac:dyDescent="0.25">
      <c r="W192" s="512" t="s">
        <v>654</v>
      </c>
      <c r="X192" s="512"/>
    </row>
    <row r="193" spans="23:24" x14ac:dyDescent="0.25">
      <c r="W193" s="512" t="s">
        <v>655</v>
      </c>
      <c r="X193" s="512"/>
    </row>
    <row r="194" spans="23:24" x14ac:dyDescent="0.25">
      <c r="W194" s="512" t="s">
        <v>656</v>
      </c>
      <c r="X194" s="512"/>
    </row>
    <row r="195" spans="23:24" x14ac:dyDescent="0.25">
      <c r="W195" s="512" t="s">
        <v>657</v>
      </c>
      <c r="X195" s="512"/>
    </row>
    <row r="196" spans="23:24" x14ac:dyDescent="0.25">
      <c r="W196" s="512" t="s">
        <v>658</v>
      </c>
      <c r="X196" s="512"/>
    </row>
    <row r="197" spans="23:24" x14ac:dyDescent="0.25">
      <c r="W197" s="512" t="s">
        <v>659</v>
      </c>
      <c r="X197" s="512"/>
    </row>
    <row r="198" spans="23:24" x14ac:dyDescent="0.25">
      <c r="W198" s="512" t="s">
        <v>660</v>
      </c>
      <c r="X198" s="512"/>
    </row>
    <row r="199" spans="23:24" x14ac:dyDescent="0.25">
      <c r="W199" s="512" t="s">
        <v>661</v>
      </c>
      <c r="X199" s="512"/>
    </row>
    <row r="200" spans="23:24" x14ac:dyDescent="0.25">
      <c r="W200" s="512" t="s">
        <v>662</v>
      </c>
      <c r="X200" s="512"/>
    </row>
    <row r="201" spans="23:24" x14ac:dyDescent="0.25">
      <c r="W201" s="512" t="s">
        <v>663</v>
      </c>
      <c r="X201" s="512"/>
    </row>
    <row r="202" spans="23:24" x14ac:dyDescent="0.25">
      <c r="W202" s="512" t="s">
        <v>664</v>
      </c>
      <c r="X202" s="512"/>
    </row>
    <row r="203" spans="23:24" x14ac:dyDescent="0.25">
      <c r="W203" s="512" t="s">
        <v>665</v>
      </c>
      <c r="X203" s="512"/>
    </row>
    <row r="204" spans="23:24" x14ac:dyDescent="0.25">
      <c r="W204" s="512" t="s">
        <v>666</v>
      </c>
      <c r="X204" s="512"/>
    </row>
    <row r="205" spans="23:24" x14ac:dyDescent="0.25">
      <c r="W205" s="512" t="s">
        <v>667</v>
      </c>
      <c r="X205" s="512"/>
    </row>
    <row r="206" spans="23:24" x14ac:dyDescent="0.25">
      <c r="W206" s="512" t="s">
        <v>668</v>
      </c>
      <c r="X206" s="512"/>
    </row>
    <row r="207" spans="23:24" x14ac:dyDescent="0.25">
      <c r="W207" s="512" t="s">
        <v>669</v>
      </c>
      <c r="X207" s="512"/>
    </row>
    <row r="208" spans="23:24" x14ac:dyDescent="0.25">
      <c r="W208" s="512" t="s">
        <v>670</v>
      </c>
      <c r="X208" s="512"/>
    </row>
    <row r="209" spans="23:24" x14ac:dyDescent="0.25">
      <c r="W209" s="512" t="s">
        <v>671</v>
      </c>
      <c r="X209" s="512"/>
    </row>
    <row r="210" spans="23:24" x14ac:dyDescent="0.25">
      <c r="W210" s="512" t="s">
        <v>672</v>
      </c>
      <c r="X210" s="512"/>
    </row>
    <row r="211" spans="23:24" x14ac:dyDescent="0.25">
      <c r="W211" s="512" t="s">
        <v>673</v>
      </c>
      <c r="X211" s="512"/>
    </row>
    <row r="212" spans="23:24" x14ac:dyDescent="0.25">
      <c r="W212" s="512" t="s">
        <v>674</v>
      </c>
      <c r="X212" s="512"/>
    </row>
    <row r="213" spans="23:24" x14ac:dyDescent="0.25">
      <c r="W213" s="512" t="s">
        <v>675</v>
      </c>
      <c r="X213" s="512"/>
    </row>
    <row r="214" spans="23:24" x14ac:dyDescent="0.25">
      <c r="W214" s="512" t="s">
        <v>676</v>
      </c>
      <c r="X214" s="512"/>
    </row>
    <row r="215" spans="23:24" x14ac:dyDescent="0.25">
      <c r="W215" s="512" t="s">
        <v>677</v>
      </c>
      <c r="X215" s="512"/>
    </row>
    <row r="216" spans="23:24" x14ac:dyDescent="0.25">
      <c r="W216" s="512" t="s">
        <v>678</v>
      </c>
      <c r="X216" s="512"/>
    </row>
    <row r="217" spans="23:24" x14ac:dyDescent="0.25">
      <c r="W217" s="512" t="s">
        <v>679</v>
      </c>
      <c r="X217" s="512"/>
    </row>
    <row r="218" spans="23:24" x14ac:dyDescent="0.25">
      <c r="W218" s="512" t="s">
        <v>680</v>
      </c>
      <c r="X218" s="512"/>
    </row>
    <row r="219" spans="23:24" x14ac:dyDescent="0.25">
      <c r="W219" s="512" t="s">
        <v>681</v>
      </c>
      <c r="X219" s="512"/>
    </row>
    <row r="220" spans="23:24" x14ac:dyDescent="0.25">
      <c r="W220" s="512" t="s">
        <v>682</v>
      </c>
      <c r="X220" s="512"/>
    </row>
    <row r="221" spans="23:24" x14ac:dyDescent="0.25">
      <c r="W221" s="512" t="s">
        <v>683</v>
      </c>
      <c r="X221" s="512"/>
    </row>
    <row r="222" spans="23:24" x14ac:dyDescent="0.25">
      <c r="W222" s="512" t="s">
        <v>684</v>
      </c>
      <c r="X222" s="512"/>
    </row>
    <row r="223" spans="23:24" x14ac:dyDescent="0.25">
      <c r="W223" s="512" t="s">
        <v>685</v>
      </c>
      <c r="X223" s="512"/>
    </row>
    <row r="224" spans="23:24" x14ac:dyDescent="0.25">
      <c r="W224" s="512" t="s">
        <v>686</v>
      </c>
      <c r="X224" s="512"/>
    </row>
    <row r="225" spans="23:24" x14ac:dyDescent="0.25">
      <c r="W225" s="512" t="s">
        <v>687</v>
      </c>
      <c r="X225" s="512"/>
    </row>
    <row r="226" spans="23:24" x14ac:dyDescent="0.25">
      <c r="W226" s="512" t="s">
        <v>688</v>
      </c>
      <c r="X226" s="512"/>
    </row>
    <row r="227" spans="23:24" x14ac:dyDescent="0.25">
      <c r="W227" s="512" t="s">
        <v>689</v>
      </c>
      <c r="X227" s="512"/>
    </row>
    <row r="228" spans="23:24" x14ac:dyDescent="0.25">
      <c r="W228" s="512" t="s">
        <v>690</v>
      </c>
      <c r="X228" s="512"/>
    </row>
    <row r="229" spans="23:24" x14ac:dyDescent="0.25">
      <c r="W229" s="512" t="s">
        <v>691</v>
      </c>
      <c r="X229" s="512"/>
    </row>
    <row r="230" spans="23:24" x14ac:dyDescent="0.25">
      <c r="W230" s="512" t="s">
        <v>692</v>
      </c>
      <c r="X230" s="512"/>
    </row>
    <row r="231" spans="23:24" x14ac:dyDescent="0.25">
      <c r="W231" s="512" t="s">
        <v>693</v>
      </c>
      <c r="X231" s="512"/>
    </row>
    <row r="232" spans="23:24" x14ac:dyDescent="0.25">
      <c r="W232" s="512" t="s">
        <v>694</v>
      </c>
      <c r="X232" s="512"/>
    </row>
    <row r="233" spans="23:24" x14ac:dyDescent="0.25">
      <c r="W233" s="512" t="s">
        <v>695</v>
      </c>
      <c r="X233" s="512"/>
    </row>
    <row r="234" spans="23:24" x14ac:dyDescent="0.25">
      <c r="W234" s="512" t="s">
        <v>696</v>
      </c>
      <c r="X234" s="512"/>
    </row>
    <row r="235" spans="23:24" x14ac:dyDescent="0.25">
      <c r="W235" s="512" t="s">
        <v>697</v>
      </c>
      <c r="X235" s="512"/>
    </row>
    <row r="236" spans="23:24" x14ac:dyDescent="0.25">
      <c r="W236" s="512" t="s">
        <v>698</v>
      </c>
      <c r="X236" s="512"/>
    </row>
    <row r="237" spans="23:24" x14ac:dyDescent="0.25">
      <c r="W237" s="512" t="s">
        <v>699</v>
      </c>
      <c r="X237" s="512"/>
    </row>
    <row r="238" spans="23:24" x14ac:dyDescent="0.25">
      <c r="W238" s="512" t="s">
        <v>700</v>
      </c>
      <c r="X238" s="512"/>
    </row>
    <row r="239" spans="23:24" x14ac:dyDescent="0.25">
      <c r="W239" s="512" t="s">
        <v>701</v>
      </c>
      <c r="X239" s="512"/>
    </row>
    <row r="240" spans="23:24" x14ac:dyDescent="0.25">
      <c r="W240" s="512" t="s">
        <v>702</v>
      </c>
      <c r="X240" s="512"/>
    </row>
    <row r="241" spans="23:24" x14ac:dyDescent="0.25">
      <c r="W241" s="512" t="s">
        <v>703</v>
      </c>
      <c r="X241" s="512"/>
    </row>
    <row r="242" spans="23:24" x14ac:dyDescent="0.25">
      <c r="W242" s="512" t="s">
        <v>704</v>
      </c>
      <c r="X242" s="512"/>
    </row>
    <row r="243" spans="23:24" x14ac:dyDescent="0.25">
      <c r="W243" s="512" t="s">
        <v>705</v>
      </c>
      <c r="X243" s="512"/>
    </row>
    <row r="244" spans="23:24" x14ac:dyDescent="0.25">
      <c r="W244" s="512" t="s">
        <v>706</v>
      </c>
      <c r="X244" s="512"/>
    </row>
    <row r="245" spans="23:24" x14ac:dyDescent="0.25">
      <c r="W245" s="512" t="s">
        <v>707</v>
      </c>
      <c r="X245" s="512"/>
    </row>
    <row r="246" spans="23:24" x14ac:dyDescent="0.25">
      <c r="W246" s="512" t="s">
        <v>708</v>
      </c>
      <c r="X246" s="512"/>
    </row>
    <row r="247" spans="23:24" x14ac:dyDescent="0.25">
      <c r="W247" s="512" t="s">
        <v>709</v>
      </c>
      <c r="X247" s="512"/>
    </row>
    <row r="248" spans="23:24" x14ac:dyDescent="0.25">
      <c r="W248" s="512" t="s">
        <v>710</v>
      </c>
      <c r="X248" s="512"/>
    </row>
    <row r="249" spans="23:24" x14ac:dyDescent="0.25">
      <c r="W249" s="512" t="s">
        <v>711</v>
      </c>
      <c r="X249" s="512"/>
    </row>
    <row r="250" spans="23:24" x14ac:dyDescent="0.25">
      <c r="W250" s="512" t="s">
        <v>712</v>
      </c>
      <c r="X250" s="512"/>
    </row>
    <row r="251" spans="23:24" x14ac:dyDescent="0.25">
      <c r="W251" s="512" t="s">
        <v>713</v>
      </c>
      <c r="X251" s="512"/>
    </row>
    <row r="252" spans="23:24" x14ac:dyDescent="0.25">
      <c r="W252" s="512" t="s">
        <v>714</v>
      </c>
      <c r="X252" s="512"/>
    </row>
    <row r="253" spans="23:24" x14ac:dyDescent="0.25">
      <c r="W253" s="512" t="s">
        <v>715</v>
      </c>
      <c r="X253" s="512"/>
    </row>
    <row r="254" spans="23:24" x14ac:dyDescent="0.25">
      <c r="W254" s="512" t="s">
        <v>716</v>
      </c>
      <c r="X254" s="512"/>
    </row>
    <row r="255" spans="23:24" x14ac:dyDescent="0.25">
      <c r="W255" s="512" t="s">
        <v>717</v>
      </c>
      <c r="X255" s="512"/>
    </row>
    <row r="256" spans="23:24" x14ac:dyDescent="0.25">
      <c r="W256" s="512" t="s">
        <v>718</v>
      </c>
      <c r="X256" s="512"/>
    </row>
    <row r="257" spans="23:24" x14ac:dyDescent="0.25">
      <c r="W257" s="512" t="s">
        <v>719</v>
      </c>
      <c r="X257" s="512"/>
    </row>
    <row r="258" spans="23:24" x14ac:dyDescent="0.25">
      <c r="W258" s="512" t="s">
        <v>720</v>
      </c>
      <c r="X258" s="512"/>
    </row>
    <row r="259" spans="23:24" x14ac:dyDescent="0.25">
      <c r="W259" s="512" t="s">
        <v>721</v>
      </c>
      <c r="X259" s="512"/>
    </row>
    <row r="260" spans="23:24" x14ac:dyDescent="0.25">
      <c r="W260" s="512" t="s">
        <v>722</v>
      </c>
      <c r="X260" s="512"/>
    </row>
    <row r="261" spans="23:24" x14ac:dyDescent="0.25">
      <c r="W261" s="512" t="s">
        <v>723</v>
      </c>
      <c r="X261" s="512"/>
    </row>
    <row r="262" spans="23:24" x14ac:dyDescent="0.25">
      <c r="W262" s="512" t="s">
        <v>724</v>
      </c>
      <c r="X262" s="512"/>
    </row>
    <row r="263" spans="23:24" x14ac:dyDescent="0.25">
      <c r="W263" s="512" t="s">
        <v>725</v>
      </c>
      <c r="X263" s="512"/>
    </row>
    <row r="264" spans="23:24" x14ac:dyDescent="0.25">
      <c r="W264" s="512" t="s">
        <v>726</v>
      </c>
      <c r="X264" s="512"/>
    </row>
    <row r="265" spans="23:24" x14ac:dyDescent="0.25">
      <c r="W265" s="512" t="s">
        <v>727</v>
      </c>
      <c r="X265" s="512"/>
    </row>
    <row r="266" spans="23:24" x14ac:dyDescent="0.25">
      <c r="W266" s="512" t="s">
        <v>728</v>
      </c>
      <c r="X266" s="512"/>
    </row>
    <row r="267" spans="23:24" x14ac:dyDescent="0.25">
      <c r="W267" s="512" t="s">
        <v>729</v>
      </c>
      <c r="X267" s="512"/>
    </row>
    <row r="268" spans="23:24" x14ac:dyDescent="0.25">
      <c r="W268" s="512" t="s">
        <v>730</v>
      </c>
      <c r="X268" s="512"/>
    </row>
    <row r="269" spans="23:24" x14ac:dyDescent="0.25">
      <c r="W269" s="512" t="s">
        <v>731</v>
      </c>
      <c r="X269" s="512"/>
    </row>
    <row r="270" spans="23:24" x14ac:dyDescent="0.25">
      <c r="W270" s="512" t="s">
        <v>732</v>
      </c>
      <c r="X270" s="512"/>
    </row>
    <row r="271" spans="23:24" x14ac:dyDescent="0.25">
      <c r="W271" s="512" t="s">
        <v>733</v>
      </c>
      <c r="X271" s="512"/>
    </row>
    <row r="272" spans="23:24" x14ac:dyDescent="0.25">
      <c r="W272" s="512" t="s">
        <v>734</v>
      </c>
      <c r="X272" s="512"/>
    </row>
    <row r="273" spans="23:24" x14ac:dyDescent="0.25">
      <c r="W273" s="512" t="s">
        <v>735</v>
      </c>
      <c r="X273" s="512"/>
    </row>
    <row r="274" spans="23:24" x14ac:dyDescent="0.25">
      <c r="W274" s="512" t="s">
        <v>736</v>
      </c>
      <c r="X274" s="512"/>
    </row>
    <row r="275" spans="23:24" x14ac:dyDescent="0.25">
      <c r="W275" s="512" t="s">
        <v>737</v>
      </c>
      <c r="X275" s="512"/>
    </row>
    <row r="276" spans="23:24" x14ac:dyDescent="0.25">
      <c r="W276" s="512" t="s">
        <v>738</v>
      </c>
      <c r="X276" s="512"/>
    </row>
    <row r="277" spans="23:24" x14ac:dyDescent="0.25">
      <c r="W277" s="512" t="s">
        <v>739</v>
      </c>
      <c r="X277" s="512"/>
    </row>
    <row r="278" spans="23:24" x14ac:dyDescent="0.25">
      <c r="W278" s="512" t="s">
        <v>740</v>
      </c>
      <c r="X278" s="512"/>
    </row>
    <row r="279" spans="23:24" x14ac:dyDescent="0.25">
      <c r="W279" s="512" t="s">
        <v>741</v>
      </c>
      <c r="X279" s="512"/>
    </row>
    <row r="280" spans="23:24" x14ac:dyDescent="0.25">
      <c r="W280" s="512" t="s">
        <v>742</v>
      </c>
      <c r="X280" s="512"/>
    </row>
    <row r="281" spans="23:24" x14ac:dyDescent="0.25">
      <c r="W281" s="512" t="s">
        <v>743</v>
      </c>
      <c r="X281" s="512"/>
    </row>
    <row r="282" spans="23:24" x14ac:dyDescent="0.25">
      <c r="W282" s="512" t="s">
        <v>744</v>
      </c>
      <c r="X282" s="512"/>
    </row>
    <row r="283" spans="23:24" x14ac:dyDescent="0.25">
      <c r="W283" s="512" t="s">
        <v>745</v>
      </c>
      <c r="X283" s="512"/>
    </row>
    <row r="284" spans="23:24" x14ac:dyDescent="0.25">
      <c r="W284" s="512" t="s">
        <v>746</v>
      </c>
      <c r="X284" s="512"/>
    </row>
    <row r="285" spans="23:24" x14ac:dyDescent="0.25">
      <c r="W285" s="512" t="s">
        <v>747</v>
      </c>
      <c r="X285" s="512"/>
    </row>
    <row r="286" spans="23:24" x14ac:dyDescent="0.25">
      <c r="W286" s="512" t="s">
        <v>748</v>
      </c>
      <c r="X286" s="512"/>
    </row>
    <row r="287" spans="23:24" x14ac:dyDescent="0.25">
      <c r="W287" s="512" t="s">
        <v>749</v>
      </c>
      <c r="X287" s="512"/>
    </row>
    <row r="288" spans="23:24" x14ac:dyDescent="0.25">
      <c r="W288" s="512" t="s">
        <v>750</v>
      </c>
      <c r="X288" s="512"/>
    </row>
    <row r="289" spans="23:24" x14ac:dyDescent="0.25">
      <c r="W289" s="512" t="s">
        <v>751</v>
      </c>
      <c r="X289" s="512"/>
    </row>
    <row r="290" spans="23:24" x14ac:dyDescent="0.25">
      <c r="W290" s="512" t="s">
        <v>752</v>
      </c>
      <c r="X290" s="512"/>
    </row>
    <row r="291" spans="23:24" x14ac:dyDescent="0.25">
      <c r="W291" s="512" t="s">
        <v>753</v>
      </c>
      <c r="X291" s="512"/>
    </row>
    <row r="292" spans="23:24" x14ac:dyDescent="0.25">
      <c r="W292" s="512" t="s">
        <v>754</v>
      </c>
      <c r="X292" s="512"/>
    </row>
    <row r="293" spans="23:24" x14ac:dyDescent="0.25">
      <c r="W293" s="512" t="s">
        <v>755</v>
      </c>
      <c r="X293" s="512"/>
    </row>
    <row r="294" spans="23:24" x14ac:dyDescent="0.25">
      <c r="W294" s="512" t="s">
        <v>756</v>
      </c>
      <c r="X294" s="512"/>
    </row>
    <row r="295" spans="23:24" x14ac:dyDescent="0.25">
      <c r="W295" s="512" t="s">
        <v>757</v>
      </c>
      <c r="X295" s="512"/>
    </row>
    <row r="296" spans="23:24" x14ac:dyDescent="0.25">
      <c r="W296" s="512" t="s">
        <v>758</v>
      </c>
      <c r="X296" s="512"/>
    </row>
    <row r="297" spans="23:24" x14ac:dyDescent="0.25">
      <c r="W297" s="512" t="s">
        <v>759</v>
      </c>
      <c r="X297" s="512"/>
    </row>
    <row r="298" spans="23:24" x14ac:dyDescent="0.25">
      <c r="W298" s="512" t="s">
        <v>760</v>
      </c>
      <c r="X298" s="512"/>
    </row>
    <row r="299" spans="23:24" x14ac:dyDescent="0.25">
      <c r="W299" s="512" t="s">
        <v>761</v>
      </c>
      <c r="X299" s="512"/>
    </row>
    <row r="300" spans="23:24" x14ac:dyDescent="0.25">
      <c r="W300" s="512" t="s">
        <v>762</v>
      </c>
      <c r="X300" s="512"/>
    </row>
    <row r="301" spans="23:24" x14ac:dyDescent="0.25">
      <c r="W301" s="512" t="s">
        <v>763</v>
      </c>
      <c r="X301" s="512"/>
    </row>
    <row r="302" spans="23:24" x14ac:dyDescent="0.25">
      <c r="W302" s="512" t="s">
        <v>764</v>
      </c>
      <c r="X302" s="512"/>
    </row>
    <row r="303" spans="23:24" x14ac:dyDescent="0.25">
      <c r="W303" s="512" t="s">
        <v>765</v>
      </c>
      <c r="X303" s="512"/>
    </row>
    <row r="304" spans="23:24" x14ac:dyDescent="0.25">
      <c r="W304" s="512" t="s">
        <v>766</v>
      </c>
      <c r="X304" s="512"/>
    </row>
    <row r="305" spans="23:24" x14ac:dyDescent="0.25">
      <c r="W305" s="512" t="s">
        <v>767</v>
      </c>
      <c r="X305" s="512"/>
    </row>
    <row r="306" spans="23:24" x14ac:dyDescent="0.25">
      <c r="W306" s="512" t="s">
        <v>768</v>
      </c>
      <c r="X306" s="512"/>
    </row>
    <row r="307" spans="23:24" x14ac:dyDescent="0.25">
      <c r="W307" s="512" t="s">
        <v>769</v>
      </c>
      <c r="X307" s="512"/>
    </row>
    <row r="308" spans="23:24" x14ac:dyDescent="0.25">
      <c r="W308" s="512" t="s">
        <v>770</v>
      </c>
      <c r="X308" s="512"/>
    </row>
    <row r="309" spans="23:24" x14ac:dyDescent="0.25">
      <c r="W309" s="512" t="s">
        <v>771</v>
      </c>
      <c r="X309" s="512"/>
    </row>
    <row r="310" spans="23:24" x14ac:dyDescent="0.25">
      <c r="W310" s="512" t="s">
        <v>772</v>
      </c>
      <c r="X310" s="512"/>
    </row>
    <row r="311" spans="23:24" x14ac:dyDescent="0.25">
      <c r="W311" s="512" t="s">
        <v>773</v>
      </c>
      <c r="X311" s="512"/>
    </row>
    <row r="312" spans="23:24" x14ac:dyDescent="0.25">
      <c r="W312" s="512" t="s">
        <v>774</v>
      </c>
      <c r="X312" s="512"/>
    </row>
    <row r="313" spans="23:24" x14ac:dyDescent="0.25">
      <c r="W313" s="512" t="s">
        <v>775</v>
      </c>
      <c r="X313" s="512"/>
    </row>
    <row r="314" spans="23:24" x14ac:dyDescent="0.25">
      <c r="W314" s="512" t="s">
        <v>776</v>
      </c>
      <c r="X314" s="512"/>
    </row>
    <row r="315" spans="23:24" x14ac:dyDescent="0.25">
      <c r="W315" s="512" t="s">
        <v>777</v>
      </c>
      <c r="X315" s="512"/>
    </row>
    <row r="316" spans="23:24" x14ac:dyDescent="0.25">
      <c r="W316" s="512" t="s">
        <v>778</v>
      </c>
      <c r="X316" s="512"/>
    </row>
    <row r="317" spans="23:24" x14ac:dyDescent="0.25">
      <c r="W317" s="512" t="s">
        <v>779</v>
      </c>
      <c r="X317" s="512"/>
    </row>
    <row r="318" spans="23:24" x14ac:dyDescent="0.25">
      <c r="W318" s="512" t="s">
        <v>780</v>
      </c>
      <c r="X318" s="512"/>
    </row>
    <row r="319" spans="23:24" x14ac:dyDescent="0.25">
      <c r="W319" s="512" t="s">
        <v>781</v>
      </c>
      <c r="X319" s="512"/>
    </row>
    <row r="320" spans="23:24" x14ac:dyDescent="0.25">
      <c r="W320" s="512" t="s">
        <v>782</v>
      </c>
      <c r="X320" s="512"/>
    </row>
    <row r="321" spans="23:24" x14ac:dyDescent="0.25">
      <c r="W321" s="512" t="s">
        <v>783</v>
      </c>
      <c r="X321" s="512"/>
    </row>
    <row r="322" spans="23:24" x14ac:dyDescent="0.25">
      <c r="W322" s="512" t="s">
        <v>784</v>
      </c>
      <c r="X322" s="512"/>
    </row>
    <row r="323" spans="23:24" x14ac:dyDescent="0.25">
      <c r="W323" s="512" t="s">
        <v>785</v>
      </c>
      <c r="X323" s="512"/>
    </row>
    <row r="324" spans="23:24" x14ac:dyDescent="0.25">
      <c r="W324" s="512" t="s">
        <v>786</v>
      </c>
      <c r="X324" s="512"/>
    </row>
    <row r="325" spans="23:24" x14ac:dyDescent="0.25">
      <c r="W325" s="512" t="s">
        <v>787</v>
      </c>
      <c r="X325" s="512"/>
    </row>
    <row r="326" spans="23:24" x14ac:dyDescent="0.25">
      <c r="W326" s="512" t="s">
        <v>788</v>
      </c>
      <c r="X326" s="512"/>
    </row>
    <row r="327" spans="23:24" x14ac:dyDescent="0.25">
      <c r="W327" s="512" t="s">
        <v>789</v>
      </c>
      <c r="X327" s="512"/>
    </row>
    <row r="328" spans="23:24" x14ac:dyDescent="0.25">
      <c r="W328" s="512" t="s">
        <v>790</v>
      </c>
      <c r="X328" s="512"/>
    </row>
    <row r="329" spans="23:24" x14ac:dyDescent="0.25">
      <c r="W329" s="512" t="s">
        <v>791</v>
      </c>
      <c r="X329" s="512"/>
    </row>
    <row r="330" spans="23:24" x14ac:dyDescent="0.25">
      <c r="W330" s="512" t="s">
        <v>792</v>
      </c>
      <c r="X330" s="512"/>
    </row>
    <row r="331" spans="23:24" x14ac:dyDescent="0.25">
      <c r="W331" s="512" t="s">
        <v>793</v>
      </c>
      <c r="X331" s="512"/>
    </row>
    <row r="332" spans="23:24" x14ac:dyDescent="0.25">
      <c r="W332" s="512" t="s">
        <v>794</v>
      </c>
      <c r="X332" s="512"/>
    </row>
    <row r="333" spans="23:24" x14ac:dyDescent="0.25">
      <c r="W333" s="512" t="s">
        <v>795</v>
      </c>
      <c r="X333" s="512"/>
    </row>
    <row r="334" spans="23:24" x14ac:dyDescent="0.25">
      <c r="W334" s="512" t="s">
        <v>796</v>
      </c>
      <c r="X334" s="512"/>
    </row>
    <row r="335" spans="23:24" x14ac:dyDescent="0.25">
      <c r="W335" s="512" t="s">
        <v>797</v>
      </c>
      <c r="X335" s="512"/>
    </row>
    <row r="336" spans="23:24" x14ac:dyDescent="0.25">
      <c r="W336" s="512" t="s">
        <v>798</v>
      </c>
      <c r="X336" s="512"/>
    </row>
    <row r="337" spans="23:24" x14ac:dyDescent="0.25">
      <c r="W337" s="512" t="s">
        <v>799</v>
      </c>
      <c r="X337" s="512"/>
    </row>
    <row r="338" spans="23:24" x14ac:dyDescent="0.25">
      <c r="W338" s="512" t="s">
        <v>800</v>
      </c>
      <c r="X338" s="512"/>
    </row>
    <row r="339" spans="23:24" x14ac:dyDescent="0.25">
      <c r="W339" s="512" t="s">
        <v>801</v>
      </c>
      <c r="X339" s="512"/>
    </row>
    <row r="340" spans="23:24" x14ac:dyDescent="0.25">
      <c r="W340" s="512" t="s">
        <v>802</v>
      </c>
      <c r="X340" s="512"/>
    </row>
    <row r="341" spans="23:24" x14ac:dyDescent="0.25">
      <c r="W341" s="512" t="s">
        <v>803</v>
      </c>
      <c r="X341" s="512"/>
    </row>
    <row r="342" spans="23:24" x14ac:dyDescent="0.25">
      <c r="W342" s="512" t="s">
        <v>804</v>
      </c>
      <c r="X342" s="512"/>
    </row>
    <row r="343" spans="23:24" x14ac:dyDescent="0.25">
      <c r="W343" s="512" t="s">
        <v>805</v>
      </c>
      <c r="X343" s="512"/>
    </row>
    <row r="344" spans="23:24" x14ac:dyDescent="0.25">
      <c r="W344" s="512" t="s">
        <v>806</v>
      </c>
      <c r="X344" s="512"/>
    </row>
    <row r="345" spans="23:24" x14ac:dyDescent="0.25">
      <c r="W345" s="512" t="s">
        <v>807</v>
      </c>
      <c r="X345" s="512"/>
    </row>
    <row r="346" spans="23:24" x14ac:dyDescent="0.25">
      <c r="W346" s="512" t="s">
        <v>808</v>
      </c>
      <c r="X346" s="512"/>
    </row>
    <row r="347" spans="23:24" x14ac:dyDescent="0.25">
      <c r="W347" s="512" t="s">
        <v>809</v>
      </c>
      <c r="X347" s="512"/>
    </row>
    <row r="348" spans="23:24" x14ac:dyDescent="0.25">
      <c r="W348" s="512" t="s">
        <v>810</v>
      </c>
      <c r="X348" s="512"/>
    </row>
    <row r="349" spans="23:24" x14ac:dyDescent="0.25">
      <c r="W349" s="512" t="s">
        <v>811</v>
      </c>
      <c r="X349" s="512"/>
    </row>
    <row r="350" spans="23:24" x14ac:dyDescent="0.25">
      <c r="W350" s="512" t="s">
        <v>812</v>
      </c>
      <c r="X350" s="512"/>
    </row>
    <row r="351" spans="23:24" x14ac:dyDescent="0.25">
      <c r="W351" s="512" t="s">
        <v>813</v>
      </c>
      <c r="X351" s="512"/>
    </row>
    <row r="352" spans="23:24" x14ac:dyDescent="0.25">
      <c r="W352" s="512" t="s">
        <v>814</v>
      </c>
      <c r="X352" s="512"/>
    </row>
    <row r="353" spans="23:24" x14ac:dyDescent="0.25">
      <c r="W353" s="512" t="s">
        <v>815</v>
      </c>
      <c r="X353" s="512"/>
    </row>
    <row r="354" spans="23:24" x14ac:dyDescent="0.25">
      <c r="W354" s="512" t="s">
        <v>816</v>
      </c>
      <c r="X354" s="512"/>
    </row>
    <row r="355" spans="23:24" x14ac:dyDescent="0.25">
      <c r="W355" s="512" t="s">
        <v>817</v>
      </c>
      <c r="X355" s="512"/>
    </row>
    <row r="356" spans="23:24" x14ac:dyDescent="0.25">
      <c r="W356" s="512" t="s">
        <v>818</v>
      </c>
      <c r="X356" s="512"/>
    </row>
    <row r="357" spans="23:24" x14ac:dyDescent="0.25">
      <c r="W357" s="512" t="s">
        <v>819</v>
      </c>
      <c r="X357" s="512"/>
    </row>
    <row r="358" spans="23:24" x14ac:dyDescent="0.25">
      <c r="W358" s="512" t="s">
        <v>820</v>
      </c>
      <c r="X358" s="512"/>
    </row>
    <row r="359" spans="23:24" x14ac:dyDescent="0.25">
      <c r="W359" s="512" t="s">
        <v>821</v>
      </c>
      <c r="X359" s="512"/>
    </row>
    <row r="360" spans="23:24" x14ac:dyDescent="0.25">
      <c r="W360" s="512" t="s">
        <v>822</v>
      </c>
      <c r="X360" s="512"/>
    </row>
    <row r="361" spans="23:24" x14ac:dyDescent="0.25">
      <c r="W361" s="512" t="s">
        <v>823</v>
      </c>
      <c r="X361" s="512"/>
    </row>
    <row r="362" spans="23:24" x14ac:dyDescent="0.25">
      <c r="W362" s="512" t="s">
        <v>824</v>
      </c>
      <c r="X362" s="512"/>
    </row>
    <row r="363" spans="23:24" x14ac:dyDescent="0.25">
      <c r="W363" s="512" t="s">
        <v>825</v>
      </c>
      <c r="X363" s="512"/>
    </row>
    <row r="364" spans="23:24" x14ac:dyDescent="0.25">
      <c r="W364" s="512" t="s">
        <v>826</v>
      </c>
      <c r="X364" s="512"/>
    </row>
    <row r="365" spans="23:24" x14ac:dyDescent="0.25">
      <c r="W365" s="512" t="s">
        <v>827</v>
      </c>
      <c r="X365" s="512"/>
    </row>
    <row r="366" spans="23:24" x14ac:dyDescent="0.25">
      <c r="W366" s="512" t="s">
        <v>828</v>
      </c>
      <c r="X366" s="512"/>
    </row>
    <row r="367" spans="23:24" x14ac:dyDescent="0.25">
      <c r="W367" s="512" t="s">
        <v>829</v>
      </c>
      <c r="X367" s="512"/>
    </row>
    <row r="368" spans="23:24" x14ac:dyDescent="0.25">
      <c r="W368" s="512" t="s">
        <v>830</v>
      </c>
      <c r="X368" s="512"/>
    </row>
    <row r="369" spans="23:24" x14ac:dyDescent="0.25">
      <c r="W369" s="512" t="s">
        <v>831</v>
      </c>
      <c r="X369" s="512"/>
    </row>
    <row r="370" spans="23:24" x14ac:dyDescent="0.25">
      <c r="W370" s="512" t="s">
        <v>832</v>
      </c>
      <c r="X370" s="512"/>
    </row>
    <row r="371" spans="23:24" x14ac:dyDescent="0.25">
      <c r="W371" s="512" t="s">
        <v>833</v>
      </c>
      <c r="X371" s="512"/>
    </row>
    <row r="372" spans="23:24" x14ac:dyDescent="0.25">
      <c r="W372" s="512" t="s">
        <v>834</v>
      </c>
      <c r="X372" s="512"/>
    </row>
    <row r="373" spans="23:24" x14ac:dyDescent="0.25">
      <c r="W373" s="512" t="s">
        <v>835</v>
      </c>
      <c r="X373" s="512"/>
    </row>
    <row r="374" spans="23:24" x14ac:dyDescent="0.25">
      <c r="W374" s="512" t="s">
        <v>836</v>
      </c>
      <c r="X374" s="512"/>
    </row>
    <row r="375" spans="23:24" x14ac:dyDescent="0.25">
      <c r="W375" s="512" t="s">
        <v>837</v>
      </c>
      <c r="X375" s="512"/>
    </row>
    <row r="376" spans="23:24" x14ac:dyDescent="0.25">
      <c r="W376" s="512" t="s">
        <v>838</v>
      </c>
      <c r="X376" s="512"/>
    </row>
    <row r="377" spans="23:24" x14ac:dyDescent="0.25">
      <c r="W377" s="512" t="s">
        <v>839</v>
      </c>
      <c r="X377" s="512"/>
    </row>
    <row r="378" spans="23:24" x14ac:dyDescent="0.25">
      <c r="W378" s="512" t="s">
        <v>840</v>
      </c>
      <c r="X378" s="512"/>
    </row>
    <row r="379" spans="23:24" x14ac:dyDescent="0.25">
      <c r="W379" s="512" t="s">
        <v>841</v>
      </c>
      <c r="X379" s="512"/>
    </row>
    <row r="380" spans="23:24" x14ac:dyDescent="0.25">
      <c r="W380" s="512" t="s">
        <v>842</v>
      </c>
      <c r="X380" s="512"/>
    </row>
    <row r="381" spans="23:24" x14ac:dyDescent="0.25">
      <c r="W381" s="512" t="s">
        <v>843</v>
      </c>
      <c r="X381" s="512"/>
    </row>
    <row r="382" spans="23:24" x14ac:dyDescent="0.25">
      <c r="W382" s="512" t="s">
        <v>844</v>
      </c>
      <c r="X382" s="512"/>
    </row>
    <row r="383" spans="23:24" x14ac:dyDescent="0.25">
      <c r="W383" s="512" t="s">
        <v>845</v>
      </c>
      <c r="X383" s="512"/>
    </row>
    <row r="384" spans="23:24" x14ac:dyDescent="0.25">
      <c r="W384" s="512" t="s">
        <v>846</v>
      </c>
      <c r="X384" s="512"/>
    </row>
    <row r="385" spans="23:24" x14ac:dyDescent="0.25">
      <c r="W385" s="512" t="s">
        <v>847</v>
      </c>
      <c r="X385" s="512"/>
    </row>
    <row r="386" spans="23:24" x14ac:dyDescent="0.25">
      <c r="W386" s="512" t="s">
        <v>848</v>
      </c>
      <c r="X386" s="512"/>
    </row>
    <row r="387" spans="23:24" x14ac:dyDescent="0.25">
      <c r="W387" s="512" t="s">
        <v>849</v>
      </c>
      <c r="X387" s="512"/>
    </row>
    <row r="388" spans="23:24" x14ac:dyDescent="0.25">
      <c r="W388" s="512" t="s">
        <v>850</v>
      </c>
      <c r="X388" s="512"/>
    </row>
    <row r="389" spans="23:24" x14ac:dyDescent="0.25">
      <c r="W389" s="512" t="s">
        <v>851</v>
      </c>
      <c r="X389" s="512"/>
    </row>
    <row r="390" spans="23:24" x14ac:dyDescent="0.25">
      <c r="W390" s="512" t="s">
        <v>852</v>
      </c>
      <c r="X390" s="512"/>
    </row>
    <row r="391" spans="23:24" x14ac:dyDescent="0.25">
      <c r="W391" s="512" t="s">
        <v>853</v>
      </c>
      <c r="X391" s="512"/>
    </row>
    <row r="392" spans="23:24" x14ac:dyDescent="0.25">
      <c r="W392" s="512" t="s">
        <v>854</v>
      </c>
      <c r="X392" s="512"/>
    </row>
    <row r="393" spans="23:24" x14ac:dyDescent="0.25">
      <c r="W393" s="512" t="s">
        <v>855</v>
      </c>
      <c r="X393" s="512"/>
    </row>
    <row r="394" spans="23:24" x14ac:dyDescent="0.25">
      <c r="W394" s="512" t="s">
        <v>856</v>
      </c>
      <c r="X394" s="512"/>
    </row>
    <row r="395" spans="23:24" x14ac:dyDescent="0.25">
      <c r="W395" s="512" t="s">
        <v>857</v>
      </c>
      <c r="X395" s="512"/>
    </row>
    <row r="396" spans="23:24" x14ac:dyDescent="0.25">
      <c r="W396" s="512" t="s">
        <v>858</v>
      </c>
      <c r="X396" s="512"/>
    </row>
    <row r="397" spans="23:24" x14ac:dyDescent="0.25">
      <c r="W397" s="512" t="s">
        <v>859</v>
      </c>
      <c r="X397" s="512"/>
    </row>
    <row r="398" spans="23:24" x14ac:dyDescent="0.25">
      <c r="W398" s="512" t="s">
        <v>860</v>
      </c>
      <c r="X398" s="512"/>
    </row>
    <row r="399" spans="23:24" x14ac:dyDescent="0.25">
      <c r="W399" s="512" t="s">
        <v>861</v>
      </c>
      <c r="X399" s="512"/>
    </row>
    <row r="400" spans="23:24" x14ac:dyDescent="0.25">
      <c r="W400" s="512" t="s">
        <v>862</v>
      </c>
      <c r="X400" s="512"/>
    </row>
    <row r="401" spans="23:24" x14ac:dyDescent="0.25">
      <c r="W401" s="512" t="s">
        <v>863</v>
      </c>
      <c r="X401" s="512"/>
    </row>
    <row r="402" spans="23:24" x14ac:dyDescent="0.25">
      <c r="W402" s="512" t="s">
        <v>864</v>
      </c>
      <c r="X402" s="512"/>
    </row>
    <row r="403" spans="23:24" x14ac:dyDescent="0.25">
      <c r="W403" s="512" t="s">
        <v>865</v>
      </c>
      <c r="X403" s="512"/>
    </row>
    <row r="404" spans="23:24" x14ac:dyDescent="0.25">
      <c r="W404" s="512" t="s">
        <v>866</v>
      </c>
      <c r="X404" s="512"/>
    </row>
    <row r="405" spans="23:24" x14ac:dyDescent="0.25">
      <c r="W405" s="512" t="s">
        <v>867</v>
      </c>
      <c r="X405" s="512"/>
    </row>
    <row r="406" spans="23:24" x14ac:dyDescent="0.25">
      <c r="W406" s="512" t="s">
        <v>868</v>
      </c>
      <c r="X406" s="512"/>
    </row>
    <row r="407" spans="23:24" x14ac:dyDescent="0.25">
      <c r="W407" s="512" t="s">
        <v>869</v>
      </c>
      <c r="X407" s="512"/>
    </row>
    <row r="408" spans="23:24" x14ac:dyDescent="0.25">
      <c r="W408" s="512" t="s">
        <v>870</v>
      </c>
      <c r="X408" s="512"/>
    </row>
    <row r="409" spans="23:24" x14ac:dyDescent="0.25">
      <c r="W409" s="512" t="s">
        <v>871</v>
      </c>
      <c r="X409" s="512"/>
    </row>
    <row r="410" spans="23:24" x14ac:dyDescent="0.25">
      <c r="W410" s="512" t="s">
        <v>872</v>
      </c>
      <c r="X410" s="512"/>
    </row>
    <row r="411" spans="23:24" x14ac:dyDescent="0.25">
      <c r="W411" s="512" t="s">
        <v>873</v>
      </c>
      <c r="X411" s="512"/>
    </row>
    <row r="412" spans="23:24" x14ac:dyDescent="0.25">
      <c r="W412" s="512" t="s">
        <v>874</v>
      </c>
      <c r="X412" s="512"/>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B45:D45"/>
    <mergeCell ref="F45:G45"/>
    <mergeCell ref="I45:K45"/>
    <mergeCell ref="M45:P45"/>
    <mergeCell ref="S45:U45"/>
    <mergeCell ref="J33:K33"/>
    <mergeCell ref="B34:D34"/>
    <mergeCell ref="F34:H34"/>
    <mergeCell ref="M34:N34"/>
    <mergeCell ref="Q34:T34"/>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5" x14ac:dyDescent="0.25"/>
  <cols>
    <col min="1" max="2" width="9.28515625" style="520" customWidth="1"/>
    <col min="3" max="3" width="34.28515625" style="520" customWidth="1"/>
    <col min="4" max="4" width="45.42578125" style="520" customWidth="1"/>
    <col min="5" max="5" width="38.7109375" style="520" customWidth="1"/>
    <col min="6" max="6" width="9.28515625" style="520" customWidth="1"/>
    <col min="7" max="16384" width="9.28515625" style="520"/>
  </cols>
  <sheetData>
    <row r="2" spans="3:5" ht="15" customHeight="1" x14ac:dyDescent="0.25"/>
    <row r="3" spans="3:5" x14ac:dyDescent="0.25">
      <c r="C3" s="10" t="s">
        <v>875</v>
      </c>
      <c r="D3" s="299"/>
      <c r="E3" s="374"/>
    </row>
    <row r="4" spans="3:5" x14ac:dyDescent="0.25">
      <c r="C4" s="577" t="s">
        <v>876</v>
      </c>
      <c r="D4" s="535" t="s">
        <v>877</v>
      </c>
      <c r="E4" s="578" t="s">
        <v>878</v>
      </c>
    </row>
    <row r="5" spans="3:5" x14ac:dyDescent="0.25">
      <c r="C5" s="706" t="s">
        <v>879</v>
      </c>
      <c r="D5" s="503" t="s">
        <v>880</v>
      </c>
      <c r="E5" s="713" t="s">
        <v>881</v>
      </c>
    </row>
    <row r="6" spans="3:5" ht="28.9" customHeight="1" x14ac:dyDescent="0.25">
      <c r="C6" s="706" t="s">
        <v>882</v>
      </c>
      <c r="D6" s="505" t="s">
        <v>883</v>
      </c>
      <c r="E6" s="713" t="s">
        <v>884</v>
      </c>
    </row>
    <row r="7" spans="3:5" ht="28.9" customHeight="1" x14ac:dyDescent="0.25">
      <c r="C7" s="706" t="s">
        <v>885</v>
      </c>
      <c r="D7" s="505" t="s">
        <v>886</v>
      </c>
      <c r="E7" s="713" t="s">
        <v>887</v>
      </c>
    </row>
    <row r="8" spans="3:5" ht="101.45" customHeight="1" x14ac:dyDescent="0.25">
      <c r="C8" s="708" t="s">
        <v>888</v>
      </c>
      <c r="D8" s="722" t="s">
        <v>889</v>
      </c>
      <c r="E8" s="1042" t="s">
        <v>890</v>
      </c>
    </row>
    <row r="9" spans="3:5" ht="29.45" customHeight="1" x14ac:dyDescent="0.25">
      <c r="C9" s="708" t="s">
        <v>891</v>
      </c>
      <c r="D9" s="722" t="s">
        <v>892</v>
      </c>
      <c r="E9" s="1042" t="s">
        <v>893</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x14ac:dyDescent="0.25">
      <c r="A1" s="546"/>
      <c r="B1" s="546"/>
      <c r="C1" s="546"/>
      <c r="D1" s="546"/>
      <c r="E1" s="546"/>
      <c r="F1" s="546"/>
      <c r="G1" s="546"/>
      <c r="H1" s="546"/>
    </row>
    <row r="2" spans="1:8" ht="19.149999999999999" customHeight="1" x14ac:dyDescent="0.25">
      <c r="A2" s="520"/>
      <c r="B2" s="732" t="s">
        <v>894</v>
      </c>
      <c r="C2" s="733" t="s">
        <v>895</v>
      </c>
      <c r="D2" s="733" t="s">
        <v>896</v>
      </c>
      <c r="E2" s="734" t="s">
        <v>897</v>
      </c>
      <c r="F2" s="735" t="s">
        <v>97</v>
      </c>
      <c r="G2" s="546"/>
      <c r="H2" s="546"/>
    </row>
    <row r="3" spans="1:8" ht="21.6" customHeight="1" x14ac:dyDescent="0.25">
      <c r="A3" s="520"/>
      <c r="B3" s="728" t="s">
        <v>898</v>
      </c>
      <c r="C3" s="736" t="s">
        <v>899</v>
      </c>
      <c r="D3" s="736" t="s">
        <v>900</v>
      </c>
      <c r="E3" s="729" t="s">
        <v>901</v>
      </c>
      <c r="F3" s="730" t="s">
        <v>217</v>
      </c>
      <c r="G3" s="520"/>
      <c r="H3" s="520"/>
    </row>
    <row r="4" spans="1:8" x14ac:dyDescent="0.25">
      <c r="A4" s="520"/>
      <c r="B4" s="9" t="s">
        <v>214</v>
      </c>
      <c r="C4" s="6" t="s">
        <v>214</v>
      </c>
      <c r="D4" s="737" t="s">
        <v>902</v>
      </c>
      <c r="E4" s="719" t="s">
        <v>313</v>
      </c>
      <c r="F4" s="720" t="s">
        <v>215</v>
      </c>
      <c r="G4" s="520"/>
      <c r="H4" s="520"/>
    </row>
    <row r="5" spans="1:8" x14ac:dyDescent="0.25">
      <c r="A5" s="520"/>
      <c r="B5" s="8"/>
      <c r="C5" s="5"/>
      <c r="D5" s="503" t="s">
        <v>903</v>
      </c>
      <c r="E5" s="505" t="s">
        <v>904</v>
      </c>
      <c r="F5" s="721" t="s">
        <v>215</v>
      </c>
      <c r="G5" s="520"/>
      <c r="H5" s="520"/>
    </row>
    <row r="6" spans="1:8" x14ac:dyDescent="0.25">
      <c r="A6" s="520"/>
      <c r="B6" s="8"/>
      <c r="C6" s="5"/>
      <c r="D6" s="503" t="s">
        <v>905</v>
      </c>
      <c r="E6" s="505" t="s">
        <v>318</v>
      </c>
      <c r="F6" s="721" t="s">
        <v>215</v>
      </c>
      <c r="G6" s="520"/>
      <c r="H6" s="520"/>
    </row>
    <row r="7" spans="1:8" x14ac:dyDescent="0.25">
      <c r="A7" s="520"/>
      <c r="B7" s="8"/>
      <c r="C7" s="5"/>
      <c r="D7" s="503" t="s">
        <v>906</v>
      </c>
      <c r="E7" s="505" t="s">
        <v>319</v>
      </c>
      <c r="F7" s="721" t="s">
        <v>215</v>
      </c>
      <c r="G7" s="520"/>
      <c r="H7" s="520"/>
    </row>
    <row r="8" spans="1:8" x14ac:dyDescent="0.25">
      <c r="A8" s="520"/>
      <c r="B8" s="8"/>
      <c r="C8" s="5" t="s">
        <v>907</v>
      </c>
      <c r="D8" s="503" t="s">
        <v>908</v>
      </c>
      <c r="E8" s="505" t="s">
        <v>308</v>
      </c>
      <c r="F8" s="725" t="s">
        <v>217</v>
      </c>
      <c r="G8" s="520"/>
      <c r="H8" s="520"/>
    </row>
    <row r="9" spans="1:8" x14ac:dyDescent="0.25">
      <c r="A9" s="520"/>
      <c r="B9" s="8"/>
      <c r="C9" s="5"/>
      <c r="D9" s="503" t="s">
        <v>909</v>
      </c>
      <c r="E9" s="505" t="s">
        <v>310</v>
      </c>
      <c r="F9" s="725" t="s">
        <v>217</v>
      </c>
      <c r="G9" s="520"/>
      <c r="H9" s="520"/>
    </row>
    <row r="10" spans="1:8" x14ac:dyDescent="0.25">
      <c r="A10" s="520"/>
      <c r="B10" s="8"/>
      <c r="C10" s="5"/>
      <c r="D10" s="503" t="s">
        <v>910</v>
      </c>
      <c r="E10" s="505" t="s">
        <v>911</v>
      </c>
      <c r="F10" s="725" t="s">
        <v>217</v>
      </c>
      <c r="G10" s="520"/>
      <c r="H10" s="520"/>
    </row>
    <row r="11" spans="1:8" x14ac:dyDescent="0.25">
      <c r="A11" s="520"/>
      <c r="B11" s="8"/>
      <c r="C11" s="5"/>
      <c r="D11" s="503" t="s">
        <v>912</v>
      </c>
      <c r="E11" s="505" t="s">
        <v>312</v>
      </c>
      <c r="F11" s="725" t="s">
        <v>217</v>
      </c>
      <c r="G11" s="520"/>
      <c r="H11" s="520"/>
    </row>
    <row r="12" spans="1:8" x14ac:dyDescent="0.25">
      <c r="A12" s="520"/>
      <c r="B12" s="8"/>
      <c r="C12" s="5"/>
      <c r="D12" s="503" t="s">
        <v>913</v>
      </c>
      <c r="E12" s="505" t="s">
        <v>914</v>
      </c>
      <c r="F12" s="725" t="s">
        <v>217</v>
      </c>
      <c r="G12" s="520"/>
      <c r="H12" s="520"/>
    </row>
    <row r="13" spans="1:8" x14ac:dyDescent="0.25">
      <c r="A13" s="520"/>
      <c r="B13" s="8"/>
      <c r="C13" s="503" t="s">
        <v>316</v>
      </c>
      <c r="D13" s="503" t="s">
        <v>915</v>
      </c>
      <c r="E13" s="505" t="s">
        <v>316</v>
      </c>
      <c r="F13" s="721" t="s">
        <v>215</v>
      </c>
      <c r="G13" s="520"/>
      <c r="H13" s="520"/>
    </row>
    <row r="14" spans="1:8" ht="15" customHeight="1" x14ac:dyDescent="0.25">
      <c r="A14" s="520"/>
      <c r="B14" s="7"/>
      <c r="C14" s="709" t="s">
        <v>916</v>
      </c>
      <c r="D14" s="709" t="s">
        <v>917</v>
      </c>
      <c r="E14" s="722" t="s">
        <v>317</v>
      </c>
      <c r="F14" s="723" t="s">
        <v>215</v>
      </c>
      <c r="G14" s="520"/>
      <c r="H14" s="520"/>
    </row>
    <row r="15" spans="1:8" x14ac:dyDescent="0.25">
      <c r="A15" s="520"/>
      <c r="B15" s="9" t="s">
        <v>918</v>
      </c>
      <c r="C15" s="737" t="s">
        <v>919</v>
      </c>
      <c r="D15" s="737" t="s">
        <v>920</v>
      </c>
      <c r="E15" s="719" t="s">
        <v>321</v>
      </c>
      <c r="F15" s="720" t="s">
        <v>215</v>
      </c>
      <c r="G15" s="520"/>
      <c r="H15" s="520"/>
    </row>
    <row r="16" spans="1:8" x14ac:dyDescent="0.25">
      <c r="A16" s="520"/>
      <c r="B16" s="8"/>
      <c r="C16" s="503" t="s">
        <v>320</v>
      </c>
      <c r="D16" s="503" t="s">
        <v>921</v>
      </c>
      <c r="E16" s="505" t="s">
        <v>320</v>
      </c>
      <c r="F16" s="721" t="s">
        <v>215</v>
      </c>
      <c r="G16" s="520"/>
      <c r="H16" s="520"/>
    </row>
    <row r="17" spans="1:8" x14ac:dyDescent="0.25">
      <c r="A17" s="520"/>
      <c r="B17" s="8"/>
      <c r="C17" s="5" t="s">
        <v>922</v>
      </c>
      <c r="D17" s="503" t="s">
        <v>923</v>
      </c>
      <c r="E17" s="505" t="s">
        <v>322</v>
      </c>
      <c r="F17" s="725" t="s">
        <v>217</v>
      </c>
      <c r="G17" s="520"/>
      <c r="H17" s="520"/>
    </row>
    <row r="18" spans="1:8" x14ac:dyDescent="0.25">
      <c r="A18" s="520"/>
      <c r="B18" s="8"/>
      <c r="C18" s="5"/>
      <c r="D18" s="503" t="s">
        <v>924</v>
      </c>
      <c r="E18" s="505" t="s">
        <v>323</v>
      </c>
      <c r="F18" s="725" t="s">
        <v>217</v>
      </c>
      <c r="G18" s="520"/>
      <c r="H18" s="520"/>
    </row>
    <row r="19" spans="1:8" ht="15" customHeight="1" x14ac:dyDescent="0.25">
      <c r="A19" s="520"/>
      <c r="B19" s="7"/>
      <c r="C19" s="4"/>
      <c r="D19" s="709" t="s">
        <v>925</v>
      </c>
      <c r="E19" s="722" t="s">
        <v>324</v>
      </c>
      <c r="F19" s="726" t="s">
        <v>217</v>
      </c>
      <c r="G19" s="520"/>
      <c r="H19" s="520"/>
    </row>
    <row r="20" spans="1:8" x14ac:dyDescent="0.25">
      <c r="A20" s="520"/>
      <c r="B20" s="9" t="s">
        <v>219</v>
      </c>
      <c r="C20" s="737" t="s">
        <v>926</v>
      </c>
      <c r="D20" s="737" t="s">
        <v>927</v>
      </c>
      <c r="E20" s="719" t="s">
        <v>331</v>
      </c>
      <c r="F20" s="720" t="s">
        <v>215</v>
      </c>
      <c r="G20" s="520"/>
      <c r="H20" s="520"/>
    </row>
    <row r="21" spans="1:8" x14ac:dyDescent="0.25">
      <c r="A21" s="520"/>
      <c r="B21" s="8"/>
      <c r="C21" s="5" t="s">
        <v>928</v>
      </c>
      <c r="D21" s="503" t="s">
        <v>929</v>
      </c>
      <c r="E21" s="505" t="s">
        <v>325</v>
      </c>
      <c r="F21" s="725" t="s">
        <v>217</v>
      </c>
      <c r="G21" s="520"/>
      <c r="H21" s="520"/>
    </row>
    <row r="22" spans="1:8" x14ac:dyDescent="0.25">
      <c r="A22" s="520"/>
      <c r="B22" s="8"/>
      <c r="C22" s="5"/>
      <c r="D22" s="503" t="s">
        <v>930</v>
      </c>
      <c r="E22" s="505" t="s">
        <v>326</v>
      </c>
      <c r="F22" s="725" t="s">
        <v>217</v>
      </c>
      <c r="G22" s="520"/>
      <c r="H22" s="520"/>
    </row>
    <row r="23" spans="1:8" x14ac:dyDescent="0.25">
      <c r="A23" s="520"/>
      <c r="B23" s="8"/>
      <c r="C23" s="5"/>
      <c r="D23" s="503" t="s">
        <v>931</v>
      </c>
      <c r="E23" s="505" t="s">
        <v>327</v>
      </c>
      <c r="F23" s="725" t="s">
        <v>217</v>
      </c>
      <c r="G23" s="520"/>
      <c r="H23" s="520"/>
    </row>
    <row r="24" spans="1:8" x14ac:dyDescent="0.25">
      <c r="A24" s="520"/>
      <c r="B24" s="8"/>
      <c r="C24" s="5"/>
      <c r="D24" s="503" t="s">
        <v>932</v>
      </c>
      <c r="E24" s="505" t="s">
        <v>328</v>
      </c>
      <c r="F24" s="725" t="s">
        <v>217</v>
      </c>
      <c r="G24" s="520"/>
      <c r="H24" s="520"/>
    </row>
    <row r="25" spans="1:8" x14ac:dyDescent="0.25">
      <c r="A25" s="520"/>
      <c r="B25" s="8"/>
      <c r="C25" s="5"/>
      <c r="D25" s="503" t="s">
        <v>933</v>
      </c>
      <c r="E25" s="505" t="s">
        <v>329</v>
      </c>
      <c r="F25" s="725" t="s">
        <v>217</v>
      </c>
      <c r="G25" s="520"/>
      <c r="H25" s="520"/>
    </row>
    <row r="26" spans="1:8" x14ac:dyDescent="0.25">
      <c r="A26" s="520"/>
      <c r="B26" s="8"/>
      <c r="C26" s="5"/>
      <c r="D26" s="503" t="s">
        <v>934</v>
      </c>
      <c r="E26" s="505" t="s">
        <v>330</v>
      </c>
      <c r="F26" s="725" t="s">
        <v>217</v>
      </c>
      <c r="G26" s="520"/>
      <c r="H26" s="520"/>
    </row>
    <row r="27" spans="1:8" ht="15" customHeight="1" x14ac:dyDescent="0.25">
      <c r="A27" s="520"/>
      <c r="B27" s="7"/>
      <c r="C27" s="4"/>
      <c r="D27" s="709" t="s">
        <v>935</v>
      </c>
      <c r="E27" s="722" t="s">
        <v>936</v>
      </c>
      <c r="F27" s="726" t="s">
        <v>217</v>
      </c>
      <c r="G27" s="520"/>
      <c r="H27" s="520"/>
    </row>
    <row r="28" spans="1:8" x14ac:dyDescent="0.25">
      <c r="A28" s="520"/>
      <c r="B28" s="9" t="s">
        <v>937</v>
      </c>
      <c r="C28" s="6" t="s">
        <v>938</v>
      </c>
      <c r="D28" s="737" t="s">
        <v>939</v>
      </c>
      <c r="E28" s="719" t="s">
        <v>940</v>
      </c>
      <c r="F28" s="720" t="s">
        <v>215</v>
      </c>
      <c r="G28" s="520"/>
      <c r="H28" s="520"/>
    </row>
    <row r="29" spans="1:8" x14ac:dyDescent="0.25">
      <c r="A29" s="520"/>
      <c r="B29" s="8"/>
      <c r="C29" s="5"/>
      <c r="D29" s="503" t="s">
        <v>941</v>
      </c>
      <c r="E29" s="505" t="s">
        <v>942</v>
      </c>
      <c r="F29" s="725" t="s">
        <v>217</v>
      </c>
      <c r="G29" s="520"/>
      <c r="H29" s="520"/>
    </row>
    <row r="30" spans="1:8" x14ac:dyDescent="0.25">
      <c r="A30" s="520"/>
      <c r="B30" s="8"/>
      <c r="C30" s="5"/>
      <c r="D30" s="503" t="s">
        <v>943</v>
      </c>
      <c r="E30" s="505" t="s">
        <v>944</v>
      </c>
      <c r="F30" s="725" t="s">
        <v>217</v>
      </c>
      <c r="G30" s="520"/>
      <c r="H30" s="520"/>
    </row>
    <row r="31" spans="1:8" x14ac:dyDescent="0.25">
      <c r="A31" s="520"/>
      <c r="B31" s="8"/>
      <c r="C31" s="5" t="s">
        <v>945</v>
      </c>
      <c r="D31" s="503" t="s">
        <v>946</v>
      </c>
      <c r="E31" s="505" t="s">
        <v>947</v>
      </c>
      <c r="F31" s="721" t="s">
        <v>215</v>
      </c>
      <c r="G31" s="520"/>
      <c r="H31" s="520"/>
    </row>
    <row r="32" spans="1:8" x14ac:dyDescent="0.25">
      <c r="A32" s="520"/>
      <c r="B32" s="8"/>
      <c r="C32" s="5"/>
      <c r="D32" s="503" t="s">
        <v>948</v>
      </c>
      <c r="E32" s="505" t="s">
        <v>949</v>
      </c>
      <c r="F32" s="725" t="s">
        <v>217</v>
      </c>
      <c r="G32" s="520"/>
      <c r="H32" s="520"/>
    </row>
    <row r="33" spans="1:8" ht="30" x14ac:dyDescent="0.25">
      <c r="A33" s="520"/>
      <c r="B33" s="8"/>
      <c r="C33" s="5"/>
      <c r="D33" s="503" t="s">
        <v>950</v>
      </c>
      <c r="E33" s="505" t="s">
        <v>951</v>
      </c>
      <c r="F33" s="725" t="s">
        <v>217</v>
      </c>
      <c r="G33" s="520"/>
      <c r="H33" s="520"/>
    </row>
    <row r="34" spans="1:8" x14ac:dyDescent="0.25">
      <c r="A34" s="520"/>
      <c r="B34" s="8"/>
      <c r="C34" s="503" t="s">
        <v>952</v>
      </c>
      <c r="D34" s="503" t="s">
        <v>953</v>
      </c>
      <c r="E34" s="505" t="s">
        <v>954</v>
      </c>
      <c r="F34" s="727" t="s">
        <v>343</v>
      </c>
      <c r="G34" s="520"/>
      <c r="H34" s="520"/>
    </row>
    <row r="35" spans="1:8" x14ac:dyDescent="0.25">
      <c r="A35" s="520"/>
      <c r="B35" s="8"/>
      <c r="C35" s="5" t="s">
        <v>955</v>
      </c>
      <c r="D35" s="503" t="s">
        <v>956</v>
      </c>
      <c r="E35" s="505" t="s">
        <v>957</v>
      </c>
      <c r="F35" s="721" t="s">
        <v>215</v>
      </c>
      <c r="G35" s="520"/>
      <c r="H35" s="520"/>
    </row>
    <row r="36" spans="1:8" x14ac:dyDescent="0.25">
      <c r="A36" s="520"/>
      <c r="B36" s="8"/>
      <c r="C36" s="5"/>
      <c r="D36" s="503" t="s">
        <v>958</v>
      </c>
      <c r="E36" s="505" t="s">
        <v>959</v>
      </c>
      <c r="F36" s="721" t="s">
        <v>215</v>
      </c>
      <c r="G36" s="520"/>
      <c r="H36" s="520"/>
    </row>
    <row r="37" spans="1:8" ht="30" x14ac:dyDescent="0.25">
      <c r="A37" s="520"/>
      <c r="B37" s="8"/>
      <c r="C37" s="5"/>
      <c r="D37" s="503" t="s">
        <v>960</v>
      </c>
      <c r="E37" s="505" t="s">
        <v>961</v>
      </c>
      <c r="F37" s="725" t="s">
        <v>217</v>
      </c>
      <c r="G37" s="520"/>
      <c r="H37" s="520"/>
    </row>
    <row r="38" spans="1:8" ht="15" customHeight="1" x14ac:dyDescent="0.25">
      <c r="A38" s="520"/>
      <c r="B38" s="7"/>
      <c r="C38" s="4"/>
      <c r="D38" s="709" t="s">
        <v>962</v>
      </c>
      <c r="E38" s="722" t="s">
        <v>963</v>
      </c>
      <c r="F38" s="726" t="s">
        <v>217</v>
      </c>
      <c r="G38" s="520"/>
      <c r="H38" s="520"/>
    </row>
    <row r="39" spans="1:8" x14ac:dyDescent="0.25">
      <c r="A39" s="520"/>
      <c r="B39" s="3" t="s">
        <v>964</v>
      </c>
      <c r="C39" s="737" t="s">
        <v>965</v>
      </c>
      <c r="D39" s="737" t="s">
        <v>966</v>
      </c>
      <c r="E39" s="719" t="s">
        <v>378</v>
      </c>
      <c r="F39" s="720" t="s">
        <v>967</v>
      </c>
      <c r="G39" s="520"/>
      <c r="H39" s="520"/>
    </row>
    <row r="40" spans="1:8" x14ac:dyDescent="0.25">
      <c r="A40" s="520"/>
      <c r="B40" s="2"/>
      <c r="C40" s="503" t="s">
        <v>965</v>
      </c>
      <c r="D40" s="503" t="s">
        <v>968</v>
      </c>
      <c r="E40" s="505" t="s">
        <v>377</v>
      </c>
      <c r="F40" s="721" t="s">
        <v>967</v>
      </c>
      <c r="G40" s="520"/>
      <c r="H40" s="520"/>
    </row>
    <row r="41" spans="1:8" ht="29.45" customHeight="1" x14ac:dyDescent="0.25">
      <c r="A41" s="520"/>
      <c r="B41" s="1"/>
      <c r="C41" s="709" t="s">
        <v>965</v>
      </c>
      <c r="D41" s="709" t="s">
        <v>969</v>
      </c>
      <c r="E41" s="722" t="s">
        <v>970</v>
      </c>
      <c r="F41" s="726" t="s">
        <v>217</v>
      </c>
      <c r="G41" s="520"/>
      <c r="H41" s="520"/>
    </row>
    <row r="42" spans="1:8" x14ac:dyDescent="0.25">
      <c r="A42" s="520"/>
      <c r="B42" s="9" t="s">
        <v>221</v>
      </c>
      <c r="C42" s="737" t="s">
        <v>965</v>
      </c>
      <c r="D42" s="737" t="s">
        <v>971</v>
      </c>
      <c r="E42" s="719" t="s">
        <v>375</v>
      </c>
      <c r="F42" s="720" t="s">
        <v>967</v>
      </c>
      <c r="G42" s="520"/>
      <c r="H42" s="520"/>
    </row>
    <row r="43" spans="1:8" x14ac:dyDescent="0.25">
      <c r="A43" s="520"/>
      <c r="B43" s="8"/>
      <c r="C43" s="503" t="s">
        <v>965</v>
      </c>
      <c r="D43" s="503" t="s">
        <v>972</v>
      </c>
      <c r="E43" s="505" t="s">
        <v>369</v>
      </c>
      <c r="F43" s="721" t="s">
        <v>967</v>
      </c>
      <c r="G43" s="520"/>
      <c r="H43" s="520"/>
    </row>
    <row r="44" spans="1:8" x14ac:dyDescent="0.25">
      <c r="A44" s="520"/>
      <c r="B44" s="8"/>
      <c r="C44" s="503" t="s">
        <v>965</v>
      </c>
      <c r="D44" s="503" t="s">
        <v>973</v>
      </c>
      <c r="E44" s="505" t="s">
        <v>373</v>
      </c>
      <c r="F44" s="721" t="s">
        <v>967</v>
      </c>
      <c r="G44" s="520"/>
      <c r="H44" s="520"/>
    </row>
    <row r="45" spans="1:8" x14ac:dyDescent="0.25">
      <c r="A45" s="520"/>
      <c r="B45" s="8"/>
      <c r="C45" s="503" t="s">
        <v>965</v>
      </c>
      <c r="D45" s="503" t="s">
        <v>974</v>
      </c>
      <c r="E45" s="505" t="s">
        <v>370</v>
      </c>
      <c r="F45" s="721" t="s">
        <v>215</v>
      </c>
      <c r="G45" s="520"/>
      <c r="H45" s="520"/>
    </row>
    <row r="46" spans="1:8" x14ac:dyDescent="0.25">
      <c r="A46" s="520"/>
      <c r="B46" s="8"/>
      <c r="C46" s="503" t="s">
        <v>965</v>
      </c>
      <c r="D46" s="503" t="s">
        <v>975</v>
      </c>
      <c r="E46" s="505" t="s">
        <v>372</v>
      </c>
      <c r="F46" s="721" t="s">
        <v>967</v>
      </c>
      <c r="G46" s="520"/>
      <c r="H46" s="520"/>
    </row>
    <row r="47" spans="1:8" x14ac:dyDescent="0.25">
      <c r="A47" s="520"/>
      <c r="B47" s="8"/>
      <c r="C47" s="503" t="s">
        <v>965</v>
      </c>
      <c r="D47" s="503" t="s">
        <v>976</v>
      </c>
      <c r="E47" s="505" t="s">
        <v>371</v>
      </c>
      <c r="F47" s="721" t="s">
        <v>215</v>
      </c>
      <c r="G47" s="520"/>
      <c r="H47" s="520"/>
    </row>
    <row r="48" spans="1:8" x14ac:dyDescent="0.25">
      <c r="A48" s="520"/>
      <c r="B48" s="8"/>
      <c r="C48" s="503" t="s">
        <v>965</v>
      </c>
      <c r="D48" s="503" t="s">
        <v>977</v>
      </c>
      <c r="E48" s="505" t="s">
        <v>374</v>
      </c>
      <c r="F48" s="721" t="s">
        <v>967</v>
      </c>
      <c r="G48" s="520"/>
      <c r="H48" s="520"/>
    </row>
    <row r="49" spans="1:8" x14ac:dyDescent="0.25">
      <c r="A49" s="520"/>
      <c r="B49" s="8"/>
      <c r="C49" s="503" t="s">
        <v>965</v>
      </c>
      <c r="D49" s="503" t="s">
        <v>978</v>
      </c>
      <c r="E49" s="505" t="s">
        <v>979</v>
      </c>
      <c r="F49" s="721" t="s">
        <v>215</v>
      </c>
      <c r="G49" s="520"/>
      <c r="H49" s="520"/>
    </row>
    <row r="50" spans="1:8" x14ac:dyDescent="0.25">
      <c r="A50" s="520"/>
      <c r="B50" s="8"/>
      <c r="C50" s="503" t="s">
        <v>965</v>
      </c>
      <c r="D50" s="503" t="s">
        <v>980</v>
      </c>
      <c r="E50" s="505" t="s">
        <v>981</v>
      </c>
      <c r="F50" s="725" t="s">
        <v>217</v>
      </c>
      <c r="G50" s="520"/>
      <c r="H50" s="520"/>
    </row>
    <row r="51" spans="1:8" ht="15" customHeight="1" x14ac:dyDescent="0.25">
      <c r="A51" s="520"/>
      <c r="B51" s="7"/>
      <c r="C51" s="709" t="s">
        <v>965</v>
      </c>
      <c r="D51" s="709" t="s">
        <v>982</v>
      </c>
      <c r="E51" s="722" t="s">
        <v>376</v>
      </c>
      <c r="F51" s="726" t="s">
        <v>217</v>
      </c>
      <c r="G51" s="520"/>
      <c r="H51" s="520"/>
    </row>
    <row r="52" spans="1:8" x14ac:dyDescent="0.25">
      <c r="A52" s="520"/>
      <c r="B52" s="9" t="s">
        <v>222</v>
      </c>
      <c r="C52" s="737" t="s">
        <v>337</v>
      </c>
      <c r="D52" s="737" t="s">
        <v>983</v>
      </c>
      <c r="E52" s="719" t="s">
        <v>337</v>
      </c>
      <c r="F52" s="724" t="s">
        <v>217</v>
      </c>
      <c r="G52" s="520"/>
      <c r="H52" s="520"/>
    </row>
    <row r="53" spans="1:8" ht="15" customHeight="1" x14ac:dyDescent="0.25">
      <c r="A53" s="520"/>
      <c r="B53" s="7"/>
      <c r="C53" s="709" t="s">
        <v>984</v>
      </c>
      <c r="D53" s="709" t="s">
        <v>985</v>
      </c>
      <c r="E53" s="722" t="s">
        <v>986</v>
      </c>
      <c r="F53" s="726" t="s">
        <v>217</v>
      </c>
      <c r="G53" s="520"/>
      <c r="H53" s="520"/>
    </row>
    <row r="54" spans="1:8" x14ac:dyDescent="0.25">
      <c r="A54" s="520"/>
      <c r="B54" s="9" t="s">
        <v>987</v>
      </c>
      <c r="C54" s="737" t="s">
        <v>988</v>
      </c>
      <c r="D54" s="737" t="s">
        <v>989</v>
      </c>
      <c r="E54" s="719" t="s">
        <v>271</v>
      </c>
      <c r="F54" s="724" t="s">
        <v>217</v>
      </c>
      <c r="G54" s="520"/>
      <c r="H54" s="520"/>
    </row>
    <row r="55" spans="1:8" x14ac:dyDescent="0.25">
      <c r="A55" s="520"/>
      <c r="B55" s="8"/>
      <c r="C55" s="503" t="s">
        <v>273</v>
      </c>
      <c r="D55" s="503" t="s">
        <v>990</v>
      </c>
      <c r="E55" s="505" t="s">
        <v>273</v>
      </c>
      <c r="F55" s="721" t="s">
        <v>215</v>
      </c>
      <c r="G55" s="520"/>
      <c r="H55" s="520"/>
    </row>
    <row r="56" spans="1:8" ht="15" customHeight="1" x14ac:dyDescent="0.25">
      <c r="A56" s="520"/>
      <c r="B56" s="7"/>
      <c r="C56" s="709" t="s">
        <v>991</v>
      </c>
      <c r="D56" s="709" t="s">
        <v>992</v>
      </c>
      <c r="E56" s="722" t="s">
        <v>272</v>
      </c>
      <c r="F56" s="726" t="s">
        <v>217</v>
      </c>
      <c r="G56" s="520"/>
      <c r="H56" s="520"/>
    </row>
    <row r="57" spans="1:8" x14ac:dyDescent="0.25">
      <c r="A57" s="520"/>
      <c r="B57" s="9" t="s">
        <v>223</v>
      </c>
      <c r="C57" s="737" t="s">
        <v>993</v>
      </c>
      <c r="D57" s="737" t="s">
        <v>994</v>
      </c>
      <c r="E57" s="719" t="s">
        <v>338</v>
      </c>
      <c r="F57" s="720" t="s">
        <v>215</v>
      </c>
      <c r="G57" s="520"/>
      <c r="H57" s="520"/>
    </row>
    <row r="58" spans="1:8" ht="15" customHeight="1" x14ac:dyDescent="0.25">
      <c r="A58" s="520"/>
      <c r="B58" s="7"/>
      <c r="C58" s="709" t="s">
        <v>995</v>
      </c>
      <c r="D58" s="709" t="s">
        <v>996</v>
      </c>
      <c r="E58" s="722" t="s">
        <v>339</v>
      </c>
      <c r="F58" s="726" t="s">
        <v>217</v>
      </c>
      <c r="G58" s="520"/>
      <c r="H58" s="520"/>
    </row>
    <row r="59" spans="1:8" x14ac:dyDescent="0.25">
      <c r="A59" s="520"/>
      <c r="B59" s="9" t="s">
        <v>224</v>
      </c>
      <c r="C59" s="737" t="s">
        <v>341</v>
      </c>
      <c r="D59" s="737" t="s">
        <v>997</v>
      </c>
      <c r="E59" s="719" t="s">
        <v>341</v>
      </c>
      <c r="F59" s="720" t="s">
        <v>215</v>
      </c>
      <c r="G59" s="520"/>
      <c r="H59" s="520"/>
    </row>
    <row r="60" spans="1:8" x14ac:dyDescent="0.25">
      <c r="A60" s="520"/>
      <c r="B60" s="8"/>
      <c r="C60" s="503" t="s">
        <v>998</v>
      </c>
      <c r="D60" s="503" t="s">
        <v>999</v>
      </c>
      <c r="E60" s="505" t="s">
        <v>1000</v>
      </c>
      <c r="F60" s="721" t="s">
        <v>215</v>
      </c>
      <c r="G60" s="520"/>
      <c r="H60" s="520"/>
    </row>
    <row r="61" spans="1:8" x14ac:dyDescent="0.25">
      <c r="A61" s="520"/>
      <c r="B61" s="8"/>
      <c r="C61" s="503" t="s">
        <v>1001</v>
      </c>
      <c r="D61" s="503" t="s">
        <v>1002</v>
      </c>
      <c r="E61" s="505" t="s">
        <v>1003</v>
      </c>
      <c r="F61" s="725" t="s">
        <v>217</v>
      </c>
      <c r="G61" s="520"/>
      <c r="H61" s="520"/>
    </row>
    <row r="62" spans="1:8" x14ac:dyDescent="0.25">
      <c r="A62" s="520"/>
      <c r="B62" s="8"/>
      <c r="C62" s="503" t="s">
        <v>345</v>
      </c>
      <c r="D62" s="503" t="s">
        <v>1004</v>
      </c>
      <c r="E62" s="505" t="s">
        <v>345</v>
      </c>
      <c r="F62" s="721" t="s">
        <v>215</v>
      </c>
      <c r="G62" s="520"/>
      <c r="H62" s="520"/>
    </row>
    <row r="63" spans="1:8" x14ac:dyDescent="0.25">
      <c r="A63" s="520"/>
      <c r="B63" s="8"/>
      <c r="C63" s="503" t="s">
        <v>1005</v>
      </c>
      <c r="D63" s="503" t="s">
        <v>1006</v>
      </c>
      <c r="E63" s="505" t="s">
        <v>348</v>
      </c>
      <c r="F63" s="725" t="s">
        <v>217</v>
      </c>
      <c r="G63" s="520"/>
      <c r="H63" s="520"/>
    </row>
    <row r="64" spans="1:8" x14ac:dyDescent="0.25">
      <c r="A64" s="520"/>
      <c r="B64" s="8"/>
      <c r="C64" s="5" t="s">
        <v>1007</v>
      </c>
      <c r="D64" s="503" t="s">
        <v>1008</v>
      </c>
      <c r="E64" s="505" t="s">
        <v>361</v>
      </c>
      <c r="F64" s="721" t="s">
        <v>215</v>
      </c>
      <c r="G64" s="520"/>
      <c r="H64" s="520"/>
    </row>
    <row r="65" spans="1:8" x14ac:dyDescent="0.25">
      <c r="A65" s="520"/>
      <c r="B65" s="8"/>
      <c r="C65" s="5"/>
      <c r="D65" s="503" t="s">
        <v>1009</v>
      </c>
      <c r="E65" s="505" t="s">
        <v>1010</v>
      </c>
      <c r="F65" s="727" t="s">
        <v>343</v>
      </c>
      <c r="G65" s="520"/>
      <c r="H65" s="520"/>
    </row>
    <row r="66" spans="1:8" x14ac:dyDescent="0.25">
      <c r="A66" s="520"/>
      <c r="B66" s="8"/>
      <c r="C66" s="503" t="s">
        <v>1011</v>
      </c>
      <c r="D66" s="503" t="s">
        <v>1012</v>
      </c>
      <c r="E66" s="505" t="s">
        <v>1013</v>
      </c>
      <c r="F66" s="725" t="s">
        <v>217</v>
      </c>
      <c r="G66" s="520"/>
      <c r="H66" s="520"/>
    </row>
    <row r="67" spans="1:8" x14ac:dyDescent="0.25">
      <c r="A67" s="520"/>
      <c r="B67" s="8"/>
      <c r="C67" s="503" t="s">
        <v>1014</v>
      </c>
      <c r="D67" s="503" t="s">
        <v>1015</v>
      </c>
      <c r="E67" s="505" t="s">
        <v>350</v>
      </c>
      <c r="F67" s="721" t="s">
        <v>215</v>
      </c>
      <c r="G67" s="520"/>
      <c r="H67" s="520"/>
    </row>
    <row r="68" spans="1:8" x14ac:dyDescent="0.25">
      <c r="A68" s="520"/>
      <c r="B68" s="8"/>
      <c r="C68" s="5" t="s">
        <v>1016</v>
      </c>
      <c r="D68" s="503" t="s">
        <v>1017</v>
      </c>
      <c r="E68" s="505" t="s">
        <v>351</v>
      </c>
      <c r="F68" s="721" t="s">
        <v>215</v>
      </c>
      <c r="G68" s="520"/>
      <c r="H68" s="520"/>
    </row>
    <row r="69" spans="1:8" x14ac:dyDescent="0.25">
      <c r="A69" s="520"/>
      <c r="B69" s="8"/>
      <c r="C69" s="5"/>
      <c r="D69" s="503" t="s">
        <v>1018</v>
      </c>
      <c r="E69" s="505" t="s">
        <v>352</v>
      </c>
      <c r="F69" s="721" t="s">
        <v>215</v>
      </c>
      <c r="G69" s="520"/>
      <c r="H69" s="520"/>
    </row>
    <row r="70" spans="1:8" x14ac:dyDescent="0.25">
      <c r="A70" s="520"/>
      <c r="B70" s="8"/>
      <c r="C70" s="503" t="s">
        <v>1019</v>
      </c>
      <c r="D70" s="503" t="s">
        <v>1020</v>
      </c>
      <c r="E70" s="505" t="s">
        <v>349</v>
      </c>
      <c r="F70" s="727" t="s">
        <v>343</v>
      </c>
      <c r="G70" s="520"/>
      <c r="H70" s="520"/>
    </row>
    <row r="71" spans="1:8" x14ac:dyDescent="0.25">
      <c r="A71" s="520"/>
      <c r="B71" s="8"/>
      <c r="C71" s="503" t="s">
        <v>1021</v>
      </c>
      <c r="D71" s="503" t="s">
        <v>1022</v>
      </c>
      <c r="E71" s="505" t="s">
        <v>334</v>
      </c>
      <c r="F71" s="721" t="s">
        <v>215</v>
      </c>
      <c r="G71" s="520"/>
      <c r="H71" s="520"/>
    </row>
    <row r="72" spans="1:8" x14ac:dyDescent="0.25">
      <c r="A72" s="520"/>
      <c r="B72" s="8"/>
      <c r="C72" s="503" t="s">
        <v>1023</v>
      </c>
      <c r="D72" s="503" t="s">
        <v>1024</v>
      </c>
      <c r="E72" s="505" t="s">
        <v>355</v>
      </c>
      <c r="F72" s="721" t="s">
        <v>215</v>
      </c>
      <c r="G72" s="520"/>
      <c r="H72" s="520"/>
    </row>
    <row r="73" spans="1:8" x14ac:dyDescent="0.25">
      <c r="A73" s="520"/>
      <c r="B73" s="8"/>
      <c r="C73" s="503" t="s">
        <v>1025</v>
      </c>
      <c r="D73" s="503" t="s">
        <v>1026</v>
      </c>
      <c r="E73" s="505" t="s">
        <v>342</v>
      </c>
      <c r="F73" s="727" t="s">
        <v>343</v>
      </c>
      <c r="G73" s="520"/>
      <c r="H73" s="520"/>
    </row>
    <row r="74" spans="1:8" x14ac:dyDescent="0.25">
      <c r="A74" s="520"/>
      <c r="B74" s="8"/>
      <c r="C74" s="503" t="s">
        <v>1027</v>
      </c>
      <c r="D74" s="503" t="s">
        <v>1028</v>
      </c>
      <c r="E74" s="505" t="s">
        <v>353</v>
      </c>
      <c r="F74" s="721" t="s">
        <v>215</v>
      </c>
      <c r="G74" s="520"/>
      <c r="H74" s="520"/>
    </row>
    <row r="75" spans="1:8" x14ac:dyDescent="0.25">
      <c r="A75" s="520"/>
      <c r="B75" s="8"/>
      <c r="C75" s="503" t="s">
        <v>1029</v>
      </c>
      <c r="D75" s="503" t="s">
        <v>1030</v>
      </c>
      <c r="E75" s="505" t="s">
        <v>1031</v>
      </c>
      <c r="F75" s="721" t="s">
        <v>215</v>
      </c>
      <c r="G75" s="520"/>
      <c r="H75" s="520"/>
    </row>
    <row r="76" spans="1:8" x14ac:dyDescent="0.25">
      <c r="A76" s="520"/>
      <c r="B76" s="8"/>
      <c r="C76" s="503" t="s">
        <v>1032</v>
      </c>
      <c r="D76" s="503" t="s">
        <v>1033</v>
      </c>
      <c r="E76" s="505" t="s">
        <v>1034</v>
      </c>
      <c r="F76" s="721" t="s">
        <v>215</v>
      </c>
      <c r="G76" s="520"/>
      <c r="H76" s="520"/>
    </row>
    <row r="77" spans="1:8" x14ac:dyDescent="0.25">
      <c r="A77" s="520"/>
      <c r="B77" s="8"/>
      <c r="C77" s="5" t="s">
        <v>1035</v>
      </c>
      <c r="D77" s="503" t="s">
        <v>1036</v>
      </c>
      <c r="E77" s="505" t="s">
        <v>356</v>
      </c>
      <c r="F77" s="721" t="s">
        <v>215</v>
      </c>
      <c r="G77" s="520"/>
      <c r="H77" s="520"/>
    </row>
    <row r="78" spans="1:8" x14ac:dyDescent="0.25">
      <c r="A78" s="520"/>
      <c r="B78" s="8"/>
      <c r="C78" s="5"/>
      <c r="D78" s="503" t="s">
        <v>1037</v>
      </c>
      <c r="E78" s="505" t="s">
        <v>1038</v>
      </c>
      <c r="F78" s="721" t="s">
        <v>215</v>
      </c>
      <c r="G78" s="520"/>
      <c r="H78" s="520"/>
    </row>
    <row r="79" spans="1:8" ht="15" customHeight="1" x14ac:dyDescent="0.25">
      <c r="A79" s="520"/>
      <c r="B79" s="7"/>
      <c r="C79" s="709" t="s">
        <v>1039</v>
      </c>
      <c r="D79" s="709" t="s">
        <v>1040</v>
      </c>
      <c r="E79" s="722" t="s">
        <v>347</v>
      </c>
      <c r="F79" s="731" t="s">
        <v>343</v>
      </c>
      <c r="G79" s="520"/>
      <c r="H79" s="520"/>
    </row>
    <row r="80" spans="1:8" x14ac:dyDescent="0.25">
      <c r="A80" s="520"/>
      <c r="B80" s="9" t="s">
        <v>225</v>
      </c>
      <c r="C80" s="6" t="s">
        <v>1041</v>
      </c>
      <c r="D80" s="737" t="s">
        <v>1042</v>
      </c>
      <c r="E80" s="719" t="s">
        <v>363</v>
      </c>
      <c r="F80" s="720" t="s">
        <v>215</v>
      </c>
      <c r="G80" s="520"/>
      <c r="H80" s="520"/>
    </row>
    <row r="81" spans="1:8" x14ac:dyDescent="0.25">
      <c r="A81" s="520"/>
      <c r="B81" s="8"/>
      <c r="C81" s="5"/>
      <c r="D81" s="503" t="s">
        <v>1043</v>
      </c>
      <c r="E81" s="505" t="s">
        <v>1044</v>
      </c>
      <c r="F81" s="725" t="s">
        <v>217</v>
      </c>
      <c r="G81" s="520"/>
      <c r="H81" s="520"/>
    </row>
    <row r="82" spans="1:8" x14ac:dyDescent="0.25">
      <c r="A82" s="520"/>
      <c r="B82" s="8"/>
      <c r="C82" s="503" t="s">
        <v>1045</v>
      </c>
      <c r="D82" s="503" t="s">
        <v>1046</v>
      </c>
      <c r="E82" s="505" t="s">
        <v>365</v>
      </c>
      <c r="F82" s="725" t="s">
        <v>217</v>
      </c>
      <c r="G82" s="520"/>
      <c r="H82" s="520"/>
    </row>
    <row r="83" spans="1:8" ht="15" customHeight="1" x14ac:dyDescent="0.25">
      <c r="A83" s="520"/>
      <c r="B83" s="7"/>
      <c r="C83" s="709" t="s">
        <v>1047</v>
      </c>
      <c r="D83" s="709" t="s">
        <v>1048</v>
      </c>
      <c r="E83" s="722" t="s">
        <v>366</v>
      </c>
      <c r="F83" s="726" t="s">
        <v>217</v>
      </c>
      <c r="G83" s="520"/>
      <c r="H83" s="520"/>
    </row>
    <row r="84" spans="1:8" x14ac:dyDescent="0.25">
      <c r="A84" s="520"/>
      <c r="B84" s="520"/>
      <c r="C84" s="520"/>
      <c r="D84" s="520"/>
      <c r="E84" s="520"/>
      <c r="F84" s="520"/>
      <c r="G84" s="520"/>
      <c r="H84" s="520"/>
    </row>
    <row r="85" spans="1:8" x14ac:dyDescent="0.25">
      <c r="A85" s="520"/>
      <c r="B85" s="520"/>
      <c r="C85" s="520"/>
      <c r="D85" s="520"/>
      <c r="E85" s="520"/>
      <c r="F85" s="520"/>
      <c r="G85" s="520"/>
      <c r="H85" s="520"/>
    </row>
    <row r="86" spans="1:8" x14ac:dyDescent="0.25">
      <c r="A86" s="520"/>
      <c r="B86" s="520"/>
      <c r="C86" s="520"/>
      <c r="D86" s="520"/>
      <c r="E86" s="520"/>
      <c r="F86" s="520"/>
      <c r="G86" s="520"/>
      <c r="H86" s="520"/>
    </row>
    <row r="87" spans="1:8" x14ac:dyDescent="0.25">
      <c r="A87" s="520"/>
      <c r="B87" s="520"/>
      <c r="C87" s="520"/>
      <c r="D87" s="520"/>
      <c r="E87" s="520"/>
      <c r="F87" s="520"/>
      <c r="G87" s="520"/>
      <c r="H87" s="520"/>
    </row>
    <row r="88" spans="1:8" x14ac:dyDescent="0.25">
      <c r="A88" s="520"/>
      <c r="B88" s="520"/>
      <c r="C88" s="520"/>
      <c r="D88" s="520"/>
      <c r="E88" s="520"/>
      <c r="F88" s="520"/>
      <c r="G88" s="520"/>
      <c r="H88" s="520"/>
    </row>
    <row r="89" spans="1:8" hidden="1" x14ac:dyDescent="0.25">
      <c r="A89" s="520"/>
      <c r="B89" s="520"/>
      <c r="C89" s="520"/>
      <c r="D89" s="520"/>
      <c r="E89" s="520"/>
      <c r="F89" s="520"/>
      <c r="G89" s="520"/>
      <c r="H89" s="520"/>
    </row>
    <row r="90" spans="1:8" hidden="1" x14ac:dyDescent="0.25">
      <c r="A90" s="520"/>
      <c r="B90" s="520"/>
      <c r="C90" s="520"/>
      <c r="D90" s="520"/>
      <c r="E90" s="520"/>
      <c r="F90" s="520"/>
      <c r="G90" s="520"/>
      <c r="H90" s="520"/>
    </row>
    <row r="91" spans="1:8" hidden="1" x14ac:dyDescent="0.25">
      <c r="A91" s="520"/>
      <c r="B91" s="520"/>
      <c r="C91" s="520"/>
      <c r="D91" s="520"/>
      <c r="E91" s="520"/>
      <c r="F91" s="520"/>
      <c r="G91" s="520"/>
      <c r="H91" s="520"/>
    </row>
    <row r="92" spans="1:8" hidden="1" x14ac:dyDescent="0.25">
      <c r="A92" s="520"/>
      <c r="B92" s="520"/>
      <c r="C92" s="520"/>
      <c r="D92" s="520"/>
      <c r="E92" s="520"/>
      <c r="F92" s="520"/>
      <c r="G92" s="520"/>
      <c r="H92" s="520"/>
    </row>
    <row r="93" spans="1:8" hidden="1" x14ac:dyDescent="0.25">
      <c r="A93" s="520"/>
      <c r="B93" s="520"/>
      <c r="C93" s="520"/>
      <c r="D93" s="520"/>
      <c r="E93" s="520"/>
      <c r="F93" s="520"/>
      <c r="G93" s="520"/>
      <c r="H93" s="520"/>
    </row>
    <row r="94" spans="1:8" hidden="1" x14ac:dyDescent="0.25">
      <c r="A94" s="520"/>
      <c r="B94" s="520"/>
      <c r="C94" s="520"/>
      <c r="D94" s="520"/>
      <c r="E94" s="520"/>
      <c r="F94" s="520"/>
      <c r="G94" s="520"/>
      <c r="H94" s="520"/>
    </row>
    <row r="95" spans="1:8" hidden="1" x14ac:dyDescent="0.25">
      <c r="A95" s="520"/>
      <c r="B95" s="520"/>
      <c r="C95" s="520"/>
      <c r="D95" s="520"/>
      <c r="E95" s="520"/>
      <c r="F95" s="520"/>
      <c r="G95" s="520"/>
      <c r="H95" s="520"/>
    </row>
    <row r="96" spans="1:8" hidden="1" x14ac:dyDescent="0.25">
      <c r="A96" s="520"/>
      <c r="B96" s="520"/>
      <c r="C96" s="520"/>
      <c r="D96" s="520"/>
      <c r="E96" s="520"/>
      <c r="F96" s="520"/>
      <c r="G96" s="520"/>
      <c r="H96" s="520"/>
    </row>
    <row r="97" spans="1:8" hidden="1" x14ac:dyDescent="0.25">
      <c r="A97" s="520"/>
      <c r="B97" s="520"/>
      <c r="C97" s="520"/>
      <c r="D97" s="520"/>
      <c r="E97" s="520"/>
      <c r="F97" s="520"/>
      <c r="G97" s="520"/>
      <c r="H97" s="520"/>
    </row>
    <row r="98" spans="1:8" hidden="1" x14ac:dyDescent="0.25">
      <c r="A98" s="520"/>
      <c r="B98" s="520"/>
      <c r="C98" s="520"/>
      <c r="D98" s="520"/>
      <c r="E98" s="520"/>
      <c r="F98" s="520"/>
      <c r="G98" s="520"/>
      <c r="H98" s="520"/>
    </row>
    <row r="99" spans="1:8" hidden="1" x14ac:dyDescent="0.25">
      <c r="A99" s="520"/>
      <c r="B99" s="520"/>
      <c r="C99" s="520"/>
      <c r="D99" s="520"/>
      <c r="E99" s="520"/>
      <c r="F99" s="520"/>
      <c r="G99" s="520"/>
      <c r="H99" s="520"/>
    </row>
    <row r="100" spans="1:8" hidden="1" x14ac:dyDescent="0.25">
      <c r="A100" s="520"/>
      <c r="B100" s="520"/>
      <c r="C100" s="520"/>
      <c r="D100" s="520"/>
      <c r="E100" s="520"/>
      <c r="F100" s="520"/>
      <c r="G100" s="520"/>
      <c r="H100" s="520"/>
    </row>
    <row r="101" spans="1:8" hidden="1" x14ac:dyDescent="0.25">
      <c r="A101" s="520"/>
      <c r="B101" s="520"/>
      <c r="C101" s="520"/>
      <c r="D101" s="520"/>
      <c r="E101" s="520"/>
      <c r="F101" s="520"/>
      <c r="G101" s="520"/>
      <c r="H101" s="520"/>
    </row>
    <row r="102" spans="1:8" hidden="1" x14ac:dyDescent="0.25">
      <c r="A102" s="520"/>
      <c r="B102" s="520"/>
      <c r="C102" s="520"/>
      <c r="D102" s="520"/>
      <c r="E102" s="520"/>
      <c r="F102" s="520"/>
      <c r="G102" s="520"/>
      <c r="H102" s="520"/>
    </row>
    <row r="103" spans="1:8" hidden="1" x14ac:dyDescent="0.25">
      <c r="A103" s="520"/>
      <c r="B103" s="520"/>
      <c r="C103" s="520"/>
      <c r="D103" s="520"/>
      <c r="E103" s="520"/>
      <c r="F103" s="520"/>
      <c r="G103" s="520"/>
      <c r="H103" s="520"/>
    </row>
    <row r="104" spans="1:8" hidden="1" x14ac:dyDescent="0.25">
      <c r="A104" s="520"/>
      <c r="B104" s="520"/>
      <c r="C104" s="520"/>
      <c r="D104" s="520"/>
      <c r="E104" s="520"/>
      <c r="F104" s="520"/>
      <c r="G104" s="520"/>
      <c r="H104" s="520"/>
    </row>
    <row r="105" spans="1:8" hidden="1" x14ac:dyDescent="0.25">
      <c r="A105" s="520"/>
      <c r="B105" s="520"/>
      <c r="C105" s="520"/>
      <c r="D105" s="520"/>
      <c r="E105" s="520"/>
      <c r="F105" s="520"/>
      <c r="G105" s="520"/>
      <c r="H105" s="520"/>
    </row>
    <row r="106" spans="1:8" hidden="1" x14ac:dyDescent="0.25">
      <c r="A106" s="520"/>
      <c r="B106" s="520"/>
      <c r="C106" s="520"/>
      <c r="D106" s="520"/>
      <c r="E106" s="520"/>
      <c r="F106" s="520"/>
      <c r="G106" s="520"/>
      <c r="H106" s="520"/>
    </row>
    <row r="107" spans="1:8" hidden="1" x14ac:dyDescent="0.25">
      <c r="A107" s="520"/>
      <c r="B107" s="520"/>
      <c r="C107" s="520"/>
      <c r="D107" s="520"/>
      <c r="E107" s="520"/>
      <c r="F107" s="520"/>
      <c r="G107" s="520"/>
      <c r="H107" s="520"/>
    </row>
    <row r="108" spans="1:8" hidden="1" x14ac:dyDescent="0.25">
      <c r="A108" s="520"/>
      <c r="B108" s="520"/>
      <c r="C108" s="520"/>
      <c r="D108" s="520"/>
      <c r="E108" s="520"/>
      <c r="F108" s="520"/>
      <c r="G108" s="520"/>
      <c r="H108" s="520"/>
    </row>
    <row r="109" spans="1:8" hidden="1" x14ac:dyDescent="0.25">
      <c r="A109" s="520"/>
      <c r="B109" s="520"/>
      <c r="C109" s="520"/>
      <c r="D109" s="520"/>
      <c r="E109" s="520"/>
      <c r="F109" s="520"/>
      <c r="G109" s="520"/>
      <c r="H109" s="520"/>
    </row>
    <row r="110" spans="1:8" hidden="1" x14ac:dyDescent="0.25">
      <c r="A110" s="520"/>
      <c r="B110" s="520"/>
      <c r="C110" s="520"/>
      <c r="D110" s="520"/>
      <c r="E110" s="520"/>
      <c r="F110" s="520"/>
      <c r="G110" s="520"/>
      <c r="H110" s="520"/>
    </row>
    <row r="111" spans="1:8" hidden="1" x14ac:dyDescent="0.25">
      <c r="A111" s="520"/>
      <c r="B111" s="520"/>
      <c r="C111" s="520"/>
      <c r="D111" s="520"/>
      <c r="E111" s="520"/>
      <c r="F111" s="520"/>
      <c r="G111" s="520"/>
      <c r="H111" s="520"/>
    </row>
    <row r="112" spans="1:8" hidden="1" x14ac:dyDescent="0.25">
      <c r="A112" s="520"/>
      <c r="B112" s="520"/>
      <c r="C112" s="520"/>
      <c r="D112" s="520"/>
      <c r="E112" s="520"/>
      <c r="F112" s="520"/>
      <c r="G112" s="520"/>
      <c r="H112" s="520"/>
    </row>
    <row r="113" spans="1:8" hidden="1" x14ac:dyDescent="0.25">
      <c r="A113" s="520"/>
      <c r="B113" s="520"/>
      <c r="C113" s="520"/>
      <c r="D113" s="520"/>
      <c r="E113" s="520"/>
      <c r="F113" s="520"/>
      <c r="G113" s="520"/>
      <c r="H113" s="520"/>
    </row>
    <row r="114" spans="1:8" hidden="1" x14ac:dyDescent="0.25">
      <c r="A114" s="520"/>
      <c r="B114" s="520"/>
      <c r="C114" s="520"/>
      <c r="D114" s="520"/>
      <c r="E114" s="520"/>
      <c r="F114" s="520"/>
      <c r="G114" s="520"/>
      <c r="H114" s="520"/>
    </row>
    <row r="115" spans="1:8" hidden="1" x14ac:dyDescent="0.25">
      <c r="A115" s="520"/>
      <c r="B115" s="520"/>
      <c r="C115" s="520"/>
      <c r="D115" s="520"/>
      <c r="E115" s="520"/>
      <c r="F115" s="520"/>
      <c r="G115" s="520"/>
      <c r="H115" s="520"/>
    </row>
    <row r="116" spans="1:8" hidden="1" x14ac:dyDescent="0.25">
      <c r="A116" s="520"/>
      <c r="B116" s="520"/>
      <c r="C116" s="520"/>
      <c r="D116" s="520"/>
      <c r="E116" s="520"/>
      <c r="F116" s="520"/>
      <c r="G116" s="520"/>
      <c r="H116" s="520"/>
    </row>
    <row r="117" spans="1:8" hidden="1" x14ac:dyDescent="0.25">
      <c r="A117" s="520"/>
      <c r="B117" s="520"/>
      <c r="C117" s="520"/>
      <c r="D117" s="520"/>
      <c r="E117" s="520"/>
      <c r="F117" s="520"/>
      <c r="G117" s="520"/>
      <c r="H117" s="520"/>
    </row>
    <row r="118" spans="1:8" hidden="1" x14ac:dyDescent="0.25">
      <c r="A118" s="520"/>
      <c r="B118" s="520"/>
      <c r="C118" s="520"/>
      <c r="D118" s="520"/>
      <c r="E118" s="520"/>
      <c r="F118" s="520"/>
      <c r="G118" s="520"/>
      <c r="H118" s="520"/>
    </row>
    <row r="119" spans="1:8" hidden="1" x14ac:dyDescent="0.25">
      <c r="A119" s="520"/>
      <c r="B119" s="520"/>
      <c r="C119" s="520"/>
      <c r="D119" s="520"/>
      <c r="E119" s="520"/>
      <c r="F119" s="520"/>
      <c r="G119" s="520"/>
      <c r="H119" s="520"/>
    </row>
    <row r="120" spans="1:8" hidden="1" x14ac:dyDescent="0.25">
      <c r="A120" s="520"/>
      <c r="B120" s="520"/>
      <c r="C120" s="520"/>
      <c r="D120" s="520"/>
      <c r="E120" s="520"/>
      <c r="F120" s="520"/>
      <c r="G120" s="520"/>
      <c r="H120" s="520"/>
    </row>
    <row r="121" spans="1:8" hidden="1" x14ac:dyDescent="0.25">
      <c r="A121" s="520"/>
      <c r="B121" s="520"/>
      <c r="C121" s="520"/>
      <c r="D121" s="520"/>
      <c r="E121" s="520"/>
      <c r="F121" s="520"/>
      <c r="G121" s="520"/>
      <c r="H121" s="520"/>
    </row>
    <row r="122" spans="1:8" hidden="1" x14ac:dyDescent="0.25">
      <c r="A122" s="520"/>
      <c r="B122" s="520"/>
      <c r="C122" s="520"/>
      <c r="D122" s="520"/>
      <c r="E122" s="520"/>
      <c r="F122" s="520"/>
      <c r="G122" s="520"/>
      <c r="H122" s="520"/>
    </row>
    <row r="123" spans="1:8" hidden="1" x14ac:dyDescent="0.25">
      <c r="A123" s="520"/>
      <c r="B123" s="520"/>
      <c r="C123" s="520"/>
      <c r="D123" s="520"/>
      <c r="E123" s="520"/>
      <c r="F123" s="520"/>
      <c r="G123" s="520"/>
      <c r="H123" s="520"/>
    </row>
    <row r="124" spans="1:8" hidden="1" x14ac:dyDescent="0.25">
      <c r="A124" s="520"/>
      <c r="B124" s="520"/>
      <c r="C124" s="520"/>
      <c r="D124" s="520"/>
      <c r="E124" s="520"/>
      <c r="F124" s="520"/>
      <c r="G124" s="520"/>
      <c r="H124" s="520"/>
    </row>
    <row r="125" spans="1:8" hidden="1" x14ac:dyDescent="0.25">
      <c r="A125" s="520"/>
      <c r="B125" s="520"/>
      <c r="C125" s="520"/>
      <c r="D125" s="520"/>
      <c r="E125" s="520"/>
      <c r="F125" s="520"/>
      <c r="G125" s="520"/>
      <c r="H125" s="520"/>
    </row>
    <row r="126" spans="1:8" hidden="1" x14ac:dyDescent="0.25">
      <c r="A126" s="520"/>
      <c r="B126" s="520"/>
      <c r="C126" s="520"/>
      <c r="D126" s="520"/>
      <c r="E126" s="520"/>
      <c r="F126" s="520"/>
      <c r="G126" s="520"/>
      <c r="H126" s="520"/>
    </row>
    <row r="127" spans="1:8" hidden="1" x14ac:dyDescent="0.25">
      <c r="A127" s="520"/>
      <c r="B127" s="520"/>
      <c r="C127" s="520"/>
      <c r="D127" s="520"/>
      <c r="E127" s="520"/>
      <c r="F127" s="520"/>
      <c r="G127" s="520"/>
      <c r="H127" s="520"/>
    </row>
    <row r="128" spans="1:8" hidden="1" x14ac:dyDescent="0.25">
      <c r="A128" s="520"/>
      <c r="B128" s="520"/>
      <c r="C128" s="520"/>
      <c r="D128" s="520"/>
      <c r="E128" s="520"/>
      <c r="F128" s="520"/>
      <c r="G128" s="520"/>
      <c r="H128" s="520"/>
    </row>
    <row r="129" spans="1:8" hidden="1" x14ac:dyDescent="0.25">
      <c r="A129" s="520"/>
      <c r="B129" s="520"/>
      <c r="C129" s="520"/>
      <c r="D129" s="520"/>
      <c r="E129" s="520"/>
      <c r="F129" s="520"/>
      <c r="G129" s="520"/>
      <c r="H129" s="520"/>
    </row>
    <row r="130" spans="1:8" hidden="1" x14ac:dyDescent="0.25">
      <c r="A130" s="520"/>
      <c r="B130" s="520"/>
      <c r="C130" s="520"/>
      <c r="D130" s="520"/>
      <c r="E130" s="520"/>
      <c r="F130" s="520"/>
      <c r="G130" s="520"/>
      <c r="H130" s="520"/>
    </row>
    <row r="131" spans="1:8" hidden="1" x14ac:dyDescent="0.25">
      <c r="A131" s="520"/>
      <c r="B131" s="520"/>
      <c r="C131" s="520"/>
      <c r="D131" s="520"/>
      <c r="E131" s="520"/>
      <c r="F131" s="520"/>
      <c r="G131" s="520"/>
      <c r="H131" s="520"/>
    </row>
    <row r="132" spans="1:8" hidden="1" x14ac:dyDescent="0.25">
      <c r="A132" s="520"/>
      <c r="B132" s="520"/>
      <c r="C132" s="520"/>
      <c r="D132" s="520"/>
      <c r="E132" s="520"/>
      <c r="F132" s="520"/>
      <c r="G132" s="520"/>
      <c r="H132" s="520"/>
    </row>
    <row r="133" spans="1:8" hidden="1" x14ac:dyDescent="0.25">
      <c r="A133" s="520"/>
      <c r="B133" s="520"/>
      <c r="C133" s="520"/>
      <c r="D133" s="520"/>
      <c r="E133" s="520"/>
      <c r="F133" s="520"/>
      <c r="G133" s="520"/>
      <c r="H133" s="520"/>
    </row>
    <row r="134" spans="1:8" hidden="1" x14ac:dyDescent="0.25">
      <c r="A134" s="520"/>
      <c r="B134" s="520"/>
      <c r="C134" s="520"/>
      <c r="D134" s="520"/>
      <c r="E134" s="520"/>
      <c r="F134" s="520"/>
      <c r="G134" s="520"/>
      <c r="H134" s="520"/>
    </row>
    <row r="135" spans="1:8" hidden="1" x14ac:dyDescent="0.25">
      <c r="A135" s="520"/>
      <c r="B135" s="520"/>
      <c r="C135" s="520"/>
      <c r="D135" s="520"/>
      <c r="E135" s="520"/>
      <c r="F135" s="520"/>
      <c r="G135" s="520"/>
      <c r="H135" s="520"/>
    </row>
    <row r="136" spans="1:8" hidden="1" x14ac:dyDescent="0.25">
      <c r="A136" s="520"/>
      <c r="B136" s="520"/>
      <c r="C136" s="520"/>
      <c r="D136" s="520"/>
      <c r="E136" s="520"/>
      <c r="F136" s="520"/>
      <c r="G136" s="520"/>
      <c r="H136" s="520"/>
    </row>
    <row r="137" spans="1:8" hidden="1" x14ac:dyDescent="0.25">
      <c r="A137" s="520"/>
      <c r="B137" s="520"/>
      <c r="C137" s="520"/>
      <c r="D137" s="520"/>
      <c r="E137" s="520"/>
      <c r="F137" s="520"/>
      <c r="G137" s="520"/>
      <c r="H137" s="520"/>
    </row>
    <row r="138" spans="1:8" hidden="1" x14ac:dyDescent="0.25">
      <c r="A138" s="520"/>
      <c r="B138" s="520"/>
      <c r="C138" s="520"/>
      <c r="D138" s="520"/>
      <c r="E138" s="520"/>
      <c r="F138" s="520"/>
      <c r="G138" s="520"/>
      <c r="H138" s="520"/>
    </row>
    <row r="139" spans="1:8" hidden="1" x14ac:dyDescent="0.25">
      <c r="A139" s="520"/>
      <c r="B139" s="520"/>
      <c r="C139" s="520"/>
      <c r="D139" s="520"/>
      <c r="E139" s="520"/>
      <c r="F139" s="520"/>
      <c r="G139" s="520"/>
      <c r="H139" s="520"/>
    </row>
    <row r="140" spans="1:8" hidden="1" x14ac:dyDescent="0.25">
      <c r="A140" s="520"/>
      <c r="B140" s="520"/>
      <c r="C140" s="520"/>
      <c r="D140" s="520"/>
      <c r="E140" s="520"/>
      <c r="F140" s="520"/>
      <c r="G140" s="520"/>
      <c r="H140" s="520"/>
    </row>
    <row r="141" spans="1:8" hidden="1" x14ac:dyDescent="0.25">
      <c r="A141" s="520"/>
      <c r="B141" s="520"/>
      <c r="C141" s="520"/>
      <c r="D141" s="520"/>
      <c r="E141" s="520"/>
      <c r="F141" s="520"/>
      <c r="G141" s="520"/>
      <c r="H141" s="520"/>
    </row>
    <row r="142" spans="1:8" hidden="1" x14ac:dyDescent="0.25">
      <c r="A142" s="520"/>
      <c r="B142" s="520"/>
      <c r="C142" s="520"/>
      <c r="D142" s="520"/>
      <c r="E142" s="520"/>
      <c r="F142" s="520"/>
      <c r="G142" s="520"/>
      <c r="H142" s="520"/>
    </row>
    <row r="143" spans="1:8" hidden="1" x14ac:dyDescent="0.25">
      <c r="A143" s="520"/>
      <c r="B143" s="520"/>
      <c r="C143" s="520"/>
      <c r="D143" s="520"/>
      <c r="E143" s="520"/>
      <c r="F143" s="520"/>
      <c r="G143" s="520"/>
      <c r="H143" s="520"/>
    </row>
    <row r="144" spans="1:8" hidden="1" x14ac:dyDescent="0.25">
      <c r="A144" s="520"/>
      <c r="B144" s="520"/>
      <c r="C144" s="520"/>
      <c r="D144" s="520"/>
      <c r="E144" s="520"/>
      <c r="F144" s="520"/>
      <c r="G144" s="520"/>
      <c r="H144" s="520"/>
    </row>
    <row r="145" spans="1:8" hidden="1" x14ac:dyDescent="0.25">
      <c r="A145" s="520"/>
      <c r="B145" s="520"/>
      <c r="C145" s="520"/>
      <c r="D145" s="520"/>
      <c r="E145" s="520"/>
      <c r="F145" s="520"/>
      <c r="G145" s="520"/>
      <c r="H145" s="520"/>
    </row>
    <row r="146" spans="1:8" hidden="1" x14ac:dyDescent="0.25">
      <c r="A146" s="520"/>
      <c r="B146" s="520"/>
      <c r="C146" s="520"/>
      <c r="D146" s="520"/>
      <c r="E146" s="520"/>
      <c r="F146" s="520"/>
      <c r="G146" s="520"/>
      <c r="H146" s="520"/>
    </row>
    <row r="147" spans="1:8" hidden="1" x14ac:dyDescent="0.25">
      <c r="A147" s="520"/>
      <c r="B147" s="520"/>
      <c r="C147" s="520"/>
      <c r="D147" s="520"/>
      <c r="E147" s="520"/>
      <c r="F147" s="520"/>
      <c r="G147" s="520"/>
      <c r="H147" s="520"/>
    </row>
    <row r="148" spans="1:8" hidden="1" x14ac:dyDescent="0.25">
      <c r="A148" s="520"/>
      <c r="B148" s="520"/>
      <c r="C148" s="520"/>
      <c r="D148" s="520"/>
      <c r="E148" s="520"/>
      <c r="F148" s="520"/>
      <c r="G148" s="520"/>
      <c r="H148" s="520"/>
    </row>
    <row r="149" spans="1:8" hidden="1" x14ac:dyDescent="0.25">
      <c r="A149" s="520"/>
      <c r="B149" s="520"/>
      <c r="C149" s="520"/>
      <c r="D149" s="520"/>
      <c r="E149" s="520"/>
      <c r="F149" s="520"/>
      <c r="G149" s="520"/>
      <c r="H149" s="520"/>
    </row>
    <row r="150" spans="1:8" hidden="1" x14ac:dyDescent="0.25">
      <c r="A150" s="520"/>
      <c r="B150" s="520"/>
      <c r="C150" s="520"/>
      <c r="D150" s="520"/>
      <c r="E150" s="520"/>
      <c r="F150" s="520"/>
      <c r="G150" s="520"/>
      <c r="H150" s="520"/>
    </row>
    <row r="151" spans="1:8" hidden="1" x14ac:dyDescent="0.25">
      <c r="A151" s="520"/>
      <c r="B151" s="520"/>
      <c r="C151" s="520"/>
    </row>
    <row r="152" spans="1:8" hidden="1" x14ac:dyDescent="0.25">
      <c r="A152" s="520"/>
      <c r="B152" s="520"/>
      <c r="C152" s="520"/>
    </row>
    <row r="153" spans="1:8" hidden="1" x14ac:dyDescent="0.25">
      <c r="A153" s="520"/>
      <c r="B153" s="520"/>
      <c r="C153" s="520"/>
    </row>
    <row r="154" spans="1:8" hidden="1" x14ac:dyDescent="0.25">
      <c r="A154" s="520"/>
      <c r="B154" s="520"/>
      <c r="C154" s="520"/>
    </row>
    <row r="155" spans="1:8" hidden="1" x14ac:dyDescent="0.25">
      <c r="A155" s="520"/>
      <c r="B155" s="520"/>
      <c r="C155" s="520"/>
    </row>
    <row r="156" spans="1:8" hidden="1" x14ac:dyDescent="0.25">
      <c r="A156" s="520"/>
      <c r="B156" s="520"/>
      <c r="C156" s="520"/>
    </row>
    <row r="157" spans="1:8" hidden="1" x14ac:dyDescent="0.25">
      <c r="A157" s="520"/>
      <c r="B157" s="520"/>
      <c r="C157" s="520"/>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59:B79"/>
    <mergeCell ref="C64:C65"/>
    <mergeCell ref="C68:C69"/>
    <mergeCell ref="C77:C78"/>
    <mergeCell ref="B80:B83"/>
    <mergeCell ref="C80:C81"/>
    <mergeCell ref="B39:B41"/>
    <mergeCell ref="B42:B51"/>
    <mergeCell ref="B52:B53"/>
    <mergeCell ref="B54:B56"/>
    <mergeCell ref="B57:B58"/>
    <mergeCell ref="B20:B27"/>
    <mergeCell ref="C21:C27"/>
    <mergeCell ref="B28:B38"/>
    <mergeCell ref="C28:C30"/>
    <mergeCell ref="C31:C33"/>
    <mergeCell ref="C35:C38"/>
    <mergeCell ref="B4:B14"/>
    <mergeCell ref="C4:C7"/>
    <mergeCell ref="C8:C12"/>
    <mergeCell ref="B15:B19"/>
    <mergeCell ref="C17:C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x14ac:dyDescent="0.25"/>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x14ac:dyDescent="0.25">
      <c r="A1" s="520"/>
      <c r="B1" s="520"/>
      <c r="C1" s="520"/>
      <c r="D1" s="520"/>
      <c r="E1" s="520"/>
      <c r="F1" s="520"/>
      <c r="G1" s="520"/>
      <c r="H1" s="520"/>
      <c r="I1" s="520"/>
      <c r="J1" s="520"/>
      <c r="K1" s="520"/>
    </row>
    <row r="2" spans="1:11" ht="32.65" customHeight="1" x14ac:dyDescent="0.25">
      <c r="A2" s="520"/>
      <c r="B2" s="445" t="s">
        <v>16</v>
      </c>
      <c r="C2" s="444"/>
      <c r="D2" s="740" t="s">
        <v>17</v>
      </c>
      <c r="E2" s="530"/>
      <c r="F2" s="520"/>
      <c r="G2" s="520"/>
      <c r="H2" s="520"/>
      <c r="I2" s="520"/>
      <c r="J2" s="520"/>
      <c r="K2" s="520"/>
    </row>
    <row r="3" spans="1:11" ht="42" customHeight="1" x14ac:dyDescent="0.25">
      <c r="A3" s="520"/>
      <c r="B3" s="443" t="s">
        <v>18</v>
      </c>
      <c r="C3" s="442"/>
      <c r="D3" s="1043" t="s">
        <v>1049</v>
      </c>
      <c r="E3" s="520"/>
      <c r="F3" s="520"/>
      <c r="G3" s="520"/>
      <c r="H3" s="520"/>
      <c r="I3" s="520"/>
      <c r="J3" s="520"/>
      <c r="K3" s="520"/>
    </row>
    <row r="4" spans="1:11" ht="42" customHeight="1" x14ac:dyDescent="0.25">
      <c r="A4" s="520"/>
      <c r="B4" s="441" t="s">
        <v>19</v>
      </c>
      <c r="C4" s="440"/>
      <c r="D4" s="1044" t="s">
        <v>1050</v>
      </c>
      <c r="E4" s="520"/>
      <c r="F4" s="520"/>
      <c r="G4" s="520"/>
      <c r="H4" s="520"/>
      <c r="I4" s="520"/>
      <c r="J4" s="520"/>
      <c r="K4" s="520"/>
    </row>
    <row r="5" spans="1:11" ht="42" customHeight="1" x14ac:dyDescent="0.25">
      <c r="A5" s="520"/>
      <c r="B5" s="441" t="s">
        <v>20</v>
      </c>
      <c r="C5" s="440"/>
      <c r="D5" s="1044" t="s">
        <v>1051</v>
      </c>
      <c r="E5" s="520"/>
      <c r="F5" s="520"/>
      <c r="G5" s="520"/>
      <c r="H5" s="520"/>
      <c r="I5" s="520"/>
      <c r="J5" s="520"/>
      <c r="K5" s="520"/>
    </row>
    <row r="6" spans="1:11" ht="42" customHeight="1" x14ac:dyDescent="0.25">
      <c r="A6" s="520"/>
      <c r="B6" s="441" t="s">
        <v>21</v>
      </c>
      <c r="C6" s="440"/>
      <c r="D6" s="1044" t="s">
        <v>476</v>
      </c>
      <c r="E6" s="520"/>
      <c r="F6" s="520"/>
      <c r="G6" s="520"/>
      <c r="H6" s="520"/>
      <c r="I6" s="520"/>
      <c r="J6" s="520"/>
      <c r="K6" s="520"/>
    </row>
    <row r="7" spans="1:11" ht="42" customHeight="1" x14ac:dyDescent="0.25">
      <c r="A7" s="520"/>
      <c r="B7" s="441" t="s">
        <v>22</v>
      </c>
      <c r="C7" s="440"/>
      <c r="D7" s="1044"/>
      <c r="E7" s="520"/>
      <c r="F7" s="520"/>
      <c r="G7" s="520"/>
      <c r="H7" s="520"/>
      <c r="I7" s="520"/>
      <c r="J7" s="520"/>
      <c r="K7" s="520"/>
    </row>
    <row r="8" spans="1:11" ht="42" customHeight="1" x14ac:dyDescent="0.25">
      <c r="A8" s="520"/>
      <c r="B8" s="441" t="s">
        <v>23</v>
      </c>
      <c r="C8" s="440"/>
      <c r="D8" s="1044" t="s">
        <v>1052</v>
      </c>
      <c r="E8" s="520"/>
      <c r="F8" s="520"/>
      <c r="G8" s="520"/>
      <c r="H8" s="520"/>
      <c r="I8" s="520"/>
      <c r="J8" s="520"/>
      <c r="K8" s="520"/>
    </row>
    <row r="9" spans="1:11" ht="42" customHeight="1" x14ac:dyDescent="0.25">
      <c r="A9" s="520"/>
      <c r="B9" s="441" t="s">
        <v>24</v>
      </c>
      <c r="C9" s="440"/>
      <c r="D9" s="767" t="s">
        <v>65</v>
      </c>
      <c r="E9" s="520"/>
      <c r="F9" s="520"/>
      <c r="G9" s="520"/>
      <c r="H9" s="520"/>
      <c r="I9" s="520"/>
      <c r="J9" s="520"/>
      <c r="K9" s="520"/>
    </row>
    <row r="10" spans="1:11" ht="42" customHeight="1" x14ac:dyDescent="0.25">
      <c r="A10" s="520"/>
      <c r="B10" s="441" t="s">
        <v>25</v>
      </c>
      <c r="C10" s="440"/>
      <c r="D10" s="1044"/>
      <c r="E10" s="520"/>
      <c r="F10" s="520"/>
      <c r="G10" s="520"/>
      <c r="H10" s="520"/>
      <c r="I10" s="520"/>
      <c r="J10" s="520"/>
      <c r="K10" s="520"/>
    </row>
    <row r="11" spans="1:11" ht="42" customHeight="1" x14ac:dyDescent="0.25">
      <c r="A11" s="520"/>
      <c r="B11" s="439" t="s">
        <v>26</v>
      </c>
      <c r="C11" s="438"/>
      <c r="D11" s="1045" t="s">
        <v>1053</v>
      </c>
      <c r="E11" s="520"/>
      <c r="F11" s="520"/>
      <c r="G11" s="520"/>
      <c r="H11" s="520"/>
      <c r="I11" s="520"/>
      <c r="J11" s="520"/>
      <c r="K11" s="520"/>
    </row>
    <row r="12" spans="1:11" ht="42" customHeight="1" x14ac:dyDescent="0.5">
      <c r="A12" s="520"/>
      <c r="B12" s="542" t="s">
        <v>27</v>
      </c>
      <c r="C12" s="631"/>
      <c r="D12" s="632"/>
      <c r="E12" s="520"/>
      <c r="F12" s="520"/>
      <c r="G12" s="520"/>
      <c r="H12" s="520"/>
      <c r="I12" s="520"/>
      <c r="J12" s="520"/>
      <c r="K12" s="520"/>
    </row>
    <row r="13" spans="1:11" ht="42" customHeight="1" x14ac:dyDescent="0.25">
      <c r="A13" s="520"/>
      <c r="B13" s="437" t="s">
        <v>28</v>
      </c>
      <c r="C13" s="633" t="s">
        <v>29</v>
      </c>
      <c r="D13" s="1046">
        <v>10</v>
      </c>
      <c r="E13" s="434" t="str">
        <f>IF(D13&lt;10,"Caution - % target reduced below default ▲",IF(D13&gt;10,"Caution -Target increased above default ⚠",""))</f>
        <v/>
      </c>
      <c r="F13" s="433"/>
      <c r="G13" s="433"/>
      <c r="H13" s="433"/>
      <c r="I13" s="433"/>
      <c r="J13" s="913"/>
      <c r="K13" s="520"/>
    </row>
    <row r="14" spans="1:11" ht="42" customHeight="1" x14ac:dyDescent="0.25">
      <c r="A14" s="520"/>
      <c r="B14" s="436"/>
      <c r="C14" s="634" t="s">
        <v>30</v>
      </c>
      <c r="D14" s="1047">
        <v>10</v>
      </c>
      <c r="E14" s="434" t="str">
        <f>IF(D14&lt;10,"Caution - % target reduced below default ▲",IF(D14&gt;10,"Caution -Target increased above default ⚠",""))</f>
        <v/>
      </c>
      <c r="F14" s="433"/>
      <c r="G14" s="433"/>
      <c r="H14" s="433"/>
      <c r="I14" s="433"/>
      <c r="J14" s="520"/>
      <c r="K14" s="520"/>
    </row>
    <row r="15" spans="1:11" ht="42" customHeight="1" x14ac:dyDescent="0.25">
      <c r="A15" s="520"/>
      <c r="B15" s="435"/>
      <c r="C15" s="635" t="s">
        <v>31</v>
      </c>
      <c r="D15" s="1048">
        <v>10</v>
      </c>
      <c r="E15" s="434" t="str">
        <f>IF(D15&lt;10,"Caution - % target reduced below default ▲",IF(D15&gt;10,"Caution -Target increased above default ⚠",""))</f>
        <v/>
      </c>
      <c r="F15" s="433"/>
      <c r="G15" s="433"/>
      <c r="H15" s="433"/>
      <c r="I15" s="433"/>
      <c r="J15" s="520"/>
      <c r="K15" s="520"/>
    </row>
    <row r="16" spans="1:11" ht="36.6" customHeight="1" x14ac:dyDescent="0.25">
      <c r="A16" s="520"/>
      <c r="B16" s="639"/>
      <c r="C16" s="639"/>
      <c r="D16" s="979"/>
      <c r="E16" s="520"/>
      <c r="F16" s="520"/>
      <c r="G16" s="520"/>
      <c r="H16" s="520"/>
      <c r="I16" s="520"/>
      <c r="J16" s="520"/>
      <c r="K16" s="520"/>
    </row>
    <row r="17" spans="1:11" ht="40.9" customHeight="1" x14ac:dyDescent="0.25">
      <c r="A17" s="520"/>
      <c r="B17" s="437" t="s">
        <v>32</v>
      </c>
      <c r="C17" s="633" t="s">
        <v>33</v>
      </c>
      <c r="D17" s="1046">
        <v>0</v>
      </c>
      <c r="E17" s="432" t="str">
        <f>IF(D17=0,"","Unit increase Targets must be agreed with LPA ⚠")</f>
        <v/>
      </c>
      <c r="F17" s="432"/>
      <c r="G17" s="432"/>
      <c r="H17" s="432"/>
      <c r="I17" s="432"/>
      <c r="J17" s="520"/>
      <c r="K17" s="520"/>
    </row>
    <row r="18" spans="1:11" ht="40.9" customHeight="1" x14ac:dyDescent="0.25">
      <c r="A18" s="520"/>
      <c r="B18" s="436"/>
      <c r="C18" s="634" t="s">
        <v>34</v>
      </c>
      <c r="D18" s="1047">
        <v>0</v>
      </c>
      <c r="E18" s="432" t="str">
        <f>IF(D18=0,"","Unit increase Targets must be agreed with LPA ⚠")</f>
        <v/>
      </c>
      <c r="F18" s="432"/>
      <c r="G18" s="432"/>
      <c r="H18" s="432"/>
      <c r="I18" s="432"/>
      <c r="J18" s="520"/>
      <c r="K18" s="520"/>
    </row>
    <row r="19" spans="1:11" ht="40.9" customHeight="1" x14ac:dyDescent="0.25">
      <c r="A19" s="520"/>
      <c r="B19" s="435"/>
      <c r="C19" s="635" t="s">
        <v>35</v>
      </c>
      <c r="D19" s="1048">
        <v>0</v>
      </c>
      <c r="E19" s="432" t="str">
        <f>IF(D19=0,"","Unit increase Targets must be agreed with LPA ⚠")</f>
        <v/>
      </c>
      <c r="F19" s="432"/>
      <c r="G19" s="432"/>
      <c r="H19" s="432"/>
      <c r="I19" s="432"/>
      <c r="J19" s="520"/>
      <c r="K19" s="520"/>
    </row>
    <row r="20" spans="1:11" ht="23.65" customHeight="1" x14ac:dyDescent="0.25">
      <c r="A20" s="520"/>
      <c r="B20" s="520"/>
      <c r="C20" s="520"/>
      <c r="D20" s="520"/>
      <c r="E20" s="639"/>
      <c r="F20" s="639"/>
      <c r="G20" s="639"/>
      <c r="H20" s="639"/>
      <c r="I20" s="639"/>
      <c r="J20" s="520"/>
      <c r="K20" s="520"/>
    </row>
    <row r="21" spans="1:11" ht="34.15" customHeight="1" x14ac:dyDescent="0.25">
      <c r="A21" s="520"/>
      <c r="B21" s="431" t="s">
        <v>36</v>
      </c>
      <c r="C21" s="431"/>
      <c r="D21" s="431"/>
      <c r="E21" s="639"/>
      <c r="F21" s="639"/>
      <c r="G21" s="639"/>
      <c r="H21" s="639"/>
      <c r="I21" s="639"/>
      <c r="J21" s="520"/>
      <c r="K21" s="520"/>
    </row>
    <row r="22" spans="1:11" ht="40.9" customHeight="1" x14ac:dyDescent="0.25">
      <c r="A22" s="520"/>
      <c r="B22" s="443" t="s">
        <v>37</v>
      </c>
      <c r="C22" s="442"/>
      <c r="D22" s="1043"/>
      <c r="E22" s="639"/>
      <c r="F22" s="639"/>
      <c r="G22" s="639"/>
      <c r="H22" s="639"/>
      <c r="I22" s="639"/>
      <c r="J22" s="520"/>
      <c r="K22" s="520"/>
    </row>
    <row r="23" spans="1:11" ht="40.9" customHeight="1" x14ac:dyDescent="0.25">
      <c r="A23" s="520"/>
      <c r="B23" s="439" t="s">
        <v>38</v>
      </c>
      <c r="C23" s="438"/>
      <c r="D23" s="768"/>
      <c r="E23" s="639"/>
      <c r="F23" s="639"/>
      <c r="G23" s="639"/>
      <c r="H23" s="639"/>
      <c r="I23" s="639"/>
      <c r="J23" s="520"/>
      <c r="K23" s="520"/>
    </row>
    <row r="24" spans="1:11" ht="40.9" customHeight="1" x14ac:dyDescent="0.25">
      <c r="A24" s="520"/>
      <c r="B24" s="520"/>
      <c r="C24" s="520"/>
      <c r="D24" s="520"/>
      <c r="E24" s="520"/>
      <c r="F24" s="680"/>
      <c r="G24" s="680"/>
      <c r="H24" s="680"/>
      <c r="I24" s="680"/>
      <c r="J24" s="520"/>
      <c r="K24" s="520"/>
    </row>
    <row r="25" spans="1:11" ht="40.9" hidden="1" customHeight="1" x14ac:dyDescent="0.25">
      <c r="A25" s="520"/>
      <c r="B25" s="520"/>
      <c r="C25" s="520"/>
      <c r="D25" s="520"/>
      <c r="E25" s="520"/>
      <c r="F25" s="680"/>
      <c r="G25" s="680"/>
      <c r="H25" s="680"/>
      <c r="I25" s="680"/>
      <c r="J25" s="520"/>
      <c r="K25" s="520"/>
    </row>
    <row r="26" spans="1:11" ht="40.9" hidden="1" customHeight="1" x14ac:dyDescent="0.25">
      <c r="A26" s="520"/>
      <c r="B26" s="520"/>
      <c r="C26" s="520"/>
      <c r="D26" s="520"/>
      <c r="E26" s="520"/>
      <c r="F26" s="680"/>
      <c r="G26" s="680"/>
      <c r="H26" s="680"/>
      <c r="I26" s="680"/>
      <c r="J26" s="520"/>
      <c r="K26" s="520"/>
    </row>
    <row r="27" spans="1:11" ht="40.9" hidden="1" customHeight="1" x14ac:dyDescent="0.25">
      <c r="A27" s="520"/>
      <c r="B27" s="520"/>
      <c r="C27" s="520"/>
      <c r="D27" s="520"/>
      <c r="E27" s="520"/>
      <c r="F27" s="680"/>
      <c r="G27" s="680"/>
      <c r="H27" s="680"/>
      <c r="I27" s="680"/>
      <c r="J27" s="520"/>
      <c r="K27" s="520"/>
    </row>
    <row r="28" spans="1:11" ht="36.6" hidden="1" customHeight="1" x14ac:dyDescent="0.25">
      <c r="A28" s="520"/>
      <c r="B28" s="520"/>
      <c r="C28" s="520"/>
      <c r="D28" s="520"/>
      <c r="E28" s="520"/>
      <c r="F28" s="520"/>
      <c r="G28" s="520"/>
      <c r="H28" s="520"/>
      <c r="I28" s="520"/>
      <c r="J28" s="520"/>
      <c r="K28" s="520"/>
    </row>
    <row r="29" spans="1:11" ht="14.65" hidden="1" customHeight="1" x14ac:dyDescent="0.25">
      <c r="A29" s="520"/>
      <c r="B29" s="520"/>
      <c r="C29" s="520"/>
      <c r="D29" s="520"/>
      <c r="E29" s="520"/>
      <c r="F29" s="520"/>
      <c r="G29" s="520"/>
      <c r="H29" s="520"/>
      <c r="I29" s="520"/>
      <c r="J29" s="520"/>
      <c r="K29" s="520"/>
    </row>
    <row r="30" spans="1:11" ht="14.65" hidden="1" customHeight="1" x14ac:dyDescent="0.25">
      <c r="A30" s="520"/>
      <c r="B30" s="520"/>
      <c r="C30" s="520"/>
      <c r="D30" s="520"/>
      <c r="E30" s="520"/>
      <c r="F30" s="520"/>
      <c r="G30" s="520"/>
      <c r="H30" s="520"/>
      <c r="I30" s="520"/>
      <c r="J30" s="520"/>
      <c r="K30" s="520"/>
    </row>
    <row r="31" spans="1:11" ht="14.65" hidden="1" customHeight="1" x14ac:dyDescent="0.25">
      <c r="A31" s="520"/>
      <c r="B31" s="520"/>
      <c r="C31" s="520"/>
      <c r="D31" s="520"/>
      <c r="E31" s="520"/>
      <c r="F31" s="520"/>
      <c r="G31" s="520"/>
      <c r="H31" s="520"/>
      <c r="I31" s="520"/>
      <c r="J31" s="520"/>
      <c r="K31" s="520"/>
    </row>
    <row r="32" spans="1:11" ht="14.65" hidden="1" customHeight="1" x14ac:dyDescent="0.25">
      <c r="A32" s="520"/>
      <c r="B32" s="520"/>
      <c r="C32" s="520"/>
      <c r="D32" s="520"/>
      <c r="E32" s="520"/>
      <c r="F32" s="520"/>
      <c r="G32" s="520"/>
      <c r="H32" s="520"/>
      <c r="I32" s="520"/>
      <c r="J32" s="520"/>
      <c r="K32" s="520"/>
    </row>
    <row r="33" spans="1:11" ht="15" hidden="1" customHeight="1" x14ac:dyDescent="0.25">
      <c r="A33" s="520"/>
      <c r="B33" s="520"/>
      <c r="C33" s="520"/>
      <c r="D33" s="520"/>
      <c r="E33" s="520"/>
      <c r="F33" s="520"/>
      <c r="G33" s="520"/>
      <c r="H33" s="520"/>
      <c r="I33" s="520"/>
      <c r="J33" s="520"/>
      <c r="K33" s="520"/>
    </row>
    <row r="34" spans="1:11" ht="14.45" hidden="1" customHeight="1" x14ac:dyDescent="0.25">
      <c r="A34" s="520"/>
      <c r="B34" s="520"/>
      <c r="C34" s="520"/>
      <c r="D34" s="520"/>
      <c r="E34" s="520"/>
      <c r="F34" s="520"/>
      <c r="G34" s="520"/>
      <c r="H34" s="520"/>
      <c r="I34" s="520"/>
      <c r="J34" s="520"/>
      <c r="K34" s="520"/>
    </row>
    <row r="35" spans="1:11" ht="14.45" hidden="1" customHeight="1" x14ac:dyDescent="0.25">
      <c r="A35" s="520"/>
      <c r="B35" s="520"/>
      <c r="C35" s="520"/>
      <c r="D35" s="520"/>
      <c r="E35" s="520"/>
      <c r="F35" s="520"/>
      <c r="G35" s="520"/>
      <c r="H35" s="520"/>
      <c r="I35" s="520"/>
      <c r="J35" s="520"/>
      <c r="K35" s="520"/>
    </row>
    <row r="36" spans="1:11" ht="14.45" hidden="1" customHeight="1" x14ac:dyDescent="0.25">
      <c r="A36" s="520"/>
      <c r="B36" s="520"/>
      <c r="C36" s="520"/>
      <c r="D36" s="520"/>
      <c r="E36" s="520"/>
      <c r="F36" s="520"/>
      <c r="G36" s="520"/>
      <c r="H36" s="520"/>
      <c r="I36" s="520"/>
      <c r="J36" s="520"/>
      <c r="K36" s="520"/>
    </row>
    <row r="37" spans="1:11" ht="14.45" hidden="1" customHeight="1" x14ac:dyDescent="0.25">
      <c r="A37" s="520"/>
      <c r="B37" s="520"/>
      <c r="C37" s="520"/>
      <c r="D37" s="520"/>
      <c r="E37" s="520"/>
      <c r="F37" s="520"/>
      <c r="G37" s="520"/>
      <c r="H37" s="520"/>
      <c r="I37" s="520"/>
      <c r="J37" s="520"/>
      <c r="K37" s="520"/>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1:D21"/>
    <mergeCell ref="B22:C22"/>
    <mergeCell ref="B23:C23"/>
    <mergeCell ref="B13:B15"/>
    <mergeCell ref="E13:I13"/>
    <mergeCell ref="E14:I14"/>
    <mergeCell ref="E15:I15"/>
    <mergeCell ref="B17:B19"/>
    <mergeCell ref="E17:I17"/>
    <mergeCell ref="E18:I18"/>
    <mergeCell ref="E19:I19"/>
    <mergeCell ref="B7:C7"/>
    <mergeCell ref="B8:C8"/>
    <mergeCell ref="B9:C9"/>
    <mergeCell ref="B10:C10"/>
    <mergeCell ref="B11:C11"/>
    <mergeCell ref="B2:C2"/>
    <mergeCell ref="B3:C3"/>
    <mergeCell ref="B4:C4"/>
    <mergeCell ref="B5:C5"/>
    <mergeCell ref="B6:C6"/>
  </mergeCells>
  <conditionalFormatting sqref="D13:D15">
    <cfRule type="cellIs" dxfId="207" priority="4" operator="greaterThan">
      <formula>10</formula>
    </cfRule>
    <cfRule type="cellIs" dxfId="206" priority="5" operator="lessThan">
      <formula>10</formula>
    </cfRule>
  </conditionalFormatting>
  <conditionalFormatting sqref="D17:D19">
    <cfRule type="cellIs" dxfId="205" priority="2" operator="lessThan">
      <formula>0</formula>
    </cfRule>
  </conditionalFormatting>
  <conditionalFormatting sqref="E13:I15">
    <cfRule type="expression" dxfId="204" priority="6">
      <formula>$D13&gt;10</formula>
    </cfRule>
    <cfRule type="expression" dxfId="203" priority="7">
      <formula>$D13&lt;10</formula>
    </cfRule>
  </conditionalFormatting>
  <conditionalFormatting sqref="E17:I19 F24:I27">
    <cfRule type="containsText" dxfId="202" priority="1" operator="containsText" text="LPA">
      <formula>NOT(ISERROR(SEARCH("LPA",E17)))</formula>
    </cfRule>
    <cfRule type="containsText" dxfId="201"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5" zeroHeight="1" x14ac:dyDescent="0.25"/>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x14ac:dyDescent="0.25">
      <c r="A1" s="520"/>
      <c r="B1" s="520"/>
      <c r="C1" s="520"/>
      <c r="D1" s="520"/>
      <c r="E1" s="520"/>
      <c r="F1" s="520"/>
      <c r="G1" s="520"/>
      <c r="H1" s="520"/>
      <c r="I1" s="520"/>
      <c r="J1" s="520"/>
      <c r="K1" s="520"/>
      <c r="L1" s="520"/>
      <c r="M1" s="520"/>
      <c r="N1" s="520"/>
    </row>
    <row r="2" spans="1:14" ht="24" customHeight="1" x14ac:dyDescent="0.25">
      <c r="A2" s="539"/>
      <c r="B2" s="685" t="s">
        <v>39</v>
      </c>
      <c r="C2" s="430" t="str">
        <f>IF('2. Site Details'!D4="","Enter site name on 2. Site Details",'2. Site Details'!D4)</f>
        <v>Kennally SSJ</v>
      </c>
      <c r="D2" s="429"/>
      <c r="E2" s="520"/>
      <c r="F2" s="520"/>
      <c r="G2" s="520"/>
      <c r="H2" s="520"/>
      <c r="I2" s="520"/>
      <c r="J2" s="520"/>
      <c r="K2" s="520"/>
      <c r="L2" s="520"/>
      <c r="M2" s="520"/>
      <c r="N2" s="520"/>
    </row>
    <row r="3" spans="1:14" ht="24" customHeight="1" x14ac:dyDescent="0.25">
      <c r="A3" s="539"/>
      <c r="B3" s="684" t="s">
        <v>16</v>
      </c>
      <c r="C3" s="428" t="s">
        <v>40</v>
      </c>
      <c r="D3" s="427"/>
      <c r="E3" s="520"/>
      <c r="F3" s="520"/>
      <c r="G3" s="520"/>
      <c r="H3" s="520"/>
      <c r="I3" s="520"/>
      <c r="J3" s="520"/>
      <c r="K3" s="520"/>
      <c r="L3" s="520"/>
      <c r="M3" s="520"/>
      <c r="N3" s="520"/>
    </row>
    <row r="4" spans="1:14" ht="14.65" customHeight="1" x14ac:dyDescent="0.25">
      <c r="A4" s="539"/>
      <c r="B4" s="539"/>
      <c r="C4" s="539"/>
      <c r="D4" s="539"/>
      <c r="E4" s="520"/>
      <c r="F4" s="520"/>
      <c r="G4" s="520"/>
      <c r="H4" s="520"/>
      <c r="I4" s="520"/>
      <c r="J4" s="520"/>
      <c r="K4" s="520"/>
      <c r="L4" s="520"/>
      <c r="M4" s="520"/>
      <c r="N4" s="520"/>
    </row>
    <row r="5" spans="1:14" ht="36" customHeight="1" x14ac:dyDescent="0.25">
      <c r="A5" s="530"/>
      <c r="B5" s="542" t="s">
        <v>41</v>
      </c>
      <c r="C5" s="1049"/>
      <c r="D5" s="1049"/>
      <c r="E5" s="520"/>
      <c r="F5" s="520"/>
      <c r="G5" s="520"/>
      <c r="H5" s="520"/>
      <c r="I5" s="520"/>
      <c r="J5" s="520"/>
      <c r="K5" s="520"/>
      <c r="L5" s="520"/>
      <c r="M5" s="520"/>
      <c r="N5" s="520"/>
    </row>
    <row r="6" spans="1:14" ht="42" customHeight="1" x14ac:dyDescent="0.25">
      <c r="A6" s="520"/>
      <c r="B6" s="527" t="s">
        <v>42</v>
      </c>
      <c r="C6" s="636" t="s">
        <v>1054</v>
      </c>
      <c r="D6" s="1050" t="str">
        <f>IF(AND(C6="Residential",C9="Unknown number"),"Site area must be less than 5,000 m2",IF(C6="","","Site area must be less than 10,000 m2"))</f>
        <v>Site area must be less than 10,000 m2</v>
      </c>
      <c r="E6" s="426" t="str">
        <f>IF(AND(C9="Unknown number", C6="Residential"),"Site area limited by unknown number of dwellings ⚠", "")</f>
        <v/>
      </c>
      <c r="F6" s="425"/>
      <c r="G6" s="425"/>
      <c r="H6" s="425"/>
      <c r="I6" s="520"/>
      <c r="J6" s="520"/>
      <c r="K6" s="520"/>
      <c r="L6" s="520"/>
      <c r="M6" s="520"/>
      <c r="N6" s="520"/>
    </row>
    <row r="7" spans="1:14" ht="42" customHeight="1" x14ac:dyDescent="0.25">
      <c r="A7" s="520"/>
      <c r="B7" s="531" t="s">
        <v>43</v>
      </c>
      <c r="C7" s="637">
        <v>454.93040000000002</v>
      </c>
      <c r="D7" s="1051" t="str">
        <f>IF(AND(D6="Site area must be less than 10,000 m2",C7&gt;=10000),"ERROR- Site too large for metric  - USE MAIN METRIC ▲",IF(AND(D6="Site area must be less than 5,000 m2",C7&gt;=5000),"ERROR- Site too large for metric  - USE MAIN METRIC ▲",""))</f>
        <v/>
      </c>
      <c r="E7" s="520"/>
      <c r="F7" s="520"/>
      <c r="G7" s="520"/>
      <c r="H7" s="520"/>
      <c r="I7" s="520"/>
      <c r="J7" s="520"/>
      <c r="K7" s="520"/>
      <c r="L7" s="520"/>
      <c r="M7" s="520"/>
      <c r="N7" s="520"/>
    </row>
    <row r="8" spans="1:14" ht="42" customHeight="1" x14ac:dyDescent="0.25">
      <c r="A8" s="520"/>
      <c r="B8" s="875" t="str">
        <f>IF(OR(C6="Residential",C6="Other"),"N/A",IF(C6="","","16. Building footprint (m2) of commercial buildings proposed within the development site (or zero if none)"))</f>
        <v>N/A</v>
      </c>
      <c r="C8" s="637"/>
      <c r="D8" s="1052" t="str">
        <f>IF(AND(B8="n/a",C8&lt;&gt;""),"ERROR- Not required",IF(AND(C8&lt;&gt;"",C8&gt;=1000),"ERROR- Footprint too large for metric  - USE MAIN METRIC",IF(AND(C8&lt;&gt;"",C8&gt;C7),"ERROR - Footprint larger than development area","")))</f>
        <v/>
      </c>
      <c r="E8" s="520"/>
      <c r="F8" s="520"/>
      <c r="G8" s="520"/>
      <c r="H8" s="520"/>
      <c r="I8" s="520"/>
      <c r="J8" s="520"/>
      <c r="K8" s="520"/>
      <c r="L8" s="520"/>
      <c r="M8" s="520"/>
      <c r="N8" s="520"/>
    </row>
    <row r="9" spans="1:14" ht="42" customHeight="1" x14ac:dyDescent="0.25">
      <c r="A9" s="520"/>
      <c r="B9" s="876" t="str">
        <f>IF(OR(C6="Commercial",C6="Other"),"N/A",IF(C6="","","17. Number of dwellings proposed within the development site"))</f>
        <v>17. Number of dwellings proposed within the development site</v>
      </c>
      <c r="C9" s="638" t="s">
        <v>1055</v>
      </c>
      <c r="D9" s="1053"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520"/>
      <c r="F9" s="520"/>
      <c r="G9" s="520"/>
      <c r="H9" s="520"/>
      <c r="I9" s="520"/>
      <c r="J9" s="520"/>
      <c r="K9" s="520"/>
      <c r="L9" s="520"/>
      <c r="M9" s="520"/>
      <c r="N9" s="520"/>
    </row>
    <row r="10" spans="1:14" ht="36" customHeight="1" x14ac:dyDescent="0.25">
      <c r="A10" s="520"/>
      <c r="B10" s="542" t="s">
        <v>44</v>
      </c>
      <c r="C10" s="1054"/>
      <c r="D10" s="1055"/>
      <c r="E10" s="520"/>
      <c r="F10" s="520"/>
      <c r="G10" s="520"/>
      <c r="H10" s="520"/>
      <c r="I10" s="520"/>
      <c r="J10" s="520"/>
      <c r="K10" s="520"/>
      <c r="L10" s="520"/>
      <c r="M10" s="520"/>
      <c r="N10" s="520"/>
    </row>
    <row r="11" spans="1:14" ht="42" customHeight="1" x14ac:dyDescent="0.25">
      <c r="A11" s="520"/>
      <c r="B11" s="527" t="s">
        <v>45</v>
      </c>
      <c r="C11" s="636" t="s">
        <v>1056</v>
      </c>
      <c r="D11" s="1056" t="str">
        <f>IF(C11="On site","ERROR- Site too complex for metric - USE MAIN METRIC ▲",IF(C11="Within 500m of site boundary","Consider using main metric tool ⚠",""))</f>
        <v/>
      </c>
      <c r="E11" s="520"/>
      <c r="F11" s="520"/>
      <c r="G11" s="520"/>
      <c r="H11" s="520"/>
      <c r="I11" s="520"/>
      <c r="J11" s="520"/>
      <c r="K11" s="520"/>
      <c r="L11" s="520"/>
      <c r="M11" s="520"/>
      <c r="N11" s="520"/>
    </row>
    <row r="12" spans="1:14" ht="42" customHeight="1" x14ac:dyDescent="0.25">
      <c r="A12" s="520"/>
      <c r="B12" s="531" t="s">
        <v>46</v>
      </c>
      <c r="C12" s="637" t="s">
        <v>1057</v>
      </c>
      <c r="D12" s="1057" t="str">
        <f>IF(C12="On site","ERROR- Site too complex for metric - USE MAIN METRIC ▲",IF(C12="Within 500m of site boundary","Consider using main metric tool ⚠",""))</f>
        <v>Consider using main metric tool ⚠</v>
      </c>
      <c r="E12" s="520"/>
      <c r="F12" s="520"/>
      <c r="G12" s="520"/>
      <c r="H12" s="520"/>
      <c r="I12" s="520"/>
      <c r="J12" s="520"/>
      <c r="K12" s="520"/>
      <c r="L12" s="520"/>
      <c r="M12" s="520"/>
      <c r="N12" s="520"/>
    </row>
    <row r="13" spans="1:14" ht="79.150000000000006" customHeight="1" x14ac:dyDescent="0.25">
      <c r="A13" s="520"/>
      <c r="B13" s="531" t="s">
        <v>47</v>
      </c>
      <c r="C13" s="424" t="s">
        <v>1058</v>
      </c>
      <c r="D13" s="423"/>
      <c r="E13" s="520"/>
      <c r="F13" s="520"/>
      <c r="G13" s="520"/>
      <c r="H13" s="520"/>
      <c r="I13" s="520"/>
      <c r="J13" s="520"/>
      <c r="K13" s="520"/>
      <c r="L13" s="520"/>
      <c r="M13" s="520"/>
      <c r="N13" s="520"/>
    </row>
    <row r="14" spans="1:14" ht="79.150000000000006" customHeight="1" x14ac:dyDescent="0.25">
      <c r="A14" s="520"/>
      <c r="B14" s="526" t="s">
        <v>48</v>
      </c>
      <c r="C14" s="422" t="s">
        <v>1059</v>
      </c>
      <c r="D14" s="421"/>
      <c r="E14" s="520"/>
      <c r="F14" s="520"/>
      <c r="G14" s="520"/>
      <c r="H14" s="520"/>
      <c r="I14" s="520"/>
      <c r="J14" s="520"/>
      <c r="K14" s="520"/>
      <c r="L14" s="520"/>
      <c r="M14" s="520"/>
      <c r="N14" s="520"/>
    </row>
    <row r="15" spans="1:14" ht="36" customHeight="1" x14ac:dyDescent="0.25">
      <c r="A15" s="520"/>
      <c r="B15" s="1040" t="s">
        <v>49</v>
      </c>
      <c r="C15" s="520"/>
      <c r="D15" s="520"/>
      <c r="E15" s="520"/>
      <c r="F15" s="520"/>
      <c r="G15" s="520"/>
      <c r="H15" s="520"/>
      <c r="I15" s="520"/>
      <c r="J15" s="520"/>
      <c r="K15" s="520"/>
      <c r="L15" s="520"/>
      <c r="M15" s="520"/>
      <c r="N15" s="520"/>
    </row>
    <row r="16" spans="1:14" ht="42" customHeight="1" x14ac:dyDescent="0.25">
      <c r="A16" s="520"/>
      <c r="B16" s="646" t="s">
        <v>50</v>
      </c>
      <c r="C16" s="1041" t="s">
        <v>1056</v>
      </c>
      <c r="D16" s="1058" t="str">
        <f>IF(C16="Yes","ERROR- Site too complex for metric - USE MAIN METRIC ▲","")</f>
        <v/>
      </c>
      <c r="E16" s="520"/>
      <c r="F16" s="520"/>
      <c r="G16" s="520"/>
      <c r="H16" s="520"/>
      <c r="I16" s="520"/>
      <c r="J16" s="520"/>
      <c r="K16" s="520"/>
      <c r="L16" s="520"/>
      <c r="M16" s="520"/>
      <c r="N16" s="520"/>
    </row>
    <row r="17" spans="1:14" ht="42" hidden="1" customHeight="1" x14ac:dyDescent="0.25">
      <c r="A17" s="520"/>
      <c r="B17" s="520"/>
      <c r="C17" s="520"/>
      <c r="D17" s="520"/>
      <c r="E17" s="520"/>
      <c r="F17" s="520"/>
      <c r="G17" s="520"/>
      <c r="H17" s="520"/>
      <c r="I17" s="520"/>
      <c r="J17" s="520"/>
      <c r="K17" s="520"/>
      <c r="L17" s="520"/>
      <c r="M17" s="520"/>
      <c r="N17" s="520"/>
    </row>
    <row r="18" spans="1:14" ht="42" customHeight="1" x14ac:dyDescent="0.25">
      <c r="A18" s="520"/>
      <c r="B18" s="542" t="s">
        <v>51</v>
      </c>
      <c r="C18" s="520"/>
      <c r="D18" s="520"/>
      <c r="E18" s="520"/>
      <c r="F18" s="520"/>
      <c r="G18" s="520"/>
      <c r="H18" s="520"/>
      <c r="I18" s="520"/>
      <c r="J18" s="520"/>
      <c r="K18" s="520"/>
      <c r="L18" s="520"/>
      <c r="M18" s="520"/>
      <c r="N18" s="520"/>
    </row>
    <row r="19" spans="1:14" ht="36" customHeight="1" x14ac:dyDescent="0.25">
      <c r="A19" s="520"/>
      <c r="B19" s="527" t="s">
        <v>52</v>
      </c>
      <c r="C19" s="636" t="s">
        <v>1060</v>
      </c>
      <c r="D19" s="1059" t="str">
        <f>IF(C19="Walkover completed by competent person","A competent person should be able to confidently identify the habitats onsite",IF(C19="No Walkover Undertaken","ERROR- Site walkover required",""))</f>
        <v>A competent person should be able to confidently identify the habitats onsite</v>
      </c>
      <c r="E19" s="520"/>
      <c r="F19" s="520"/>
      <c r="G19" s="520"/>
      <c r="H19" s="520"/>
      <c r="I19" s="520"/>
      <c r="J19" s="520"/>
      <c r="K19" s="520"/>
      <c r="L19" s="520"/>
      <c r="M19" s="520"/>
      <c r="N19" s="520"/>
    </row>
    <row r="20" spans="1:14" ht="79.150000000000006" customHeight="1" x14ac:dyDescent="0.25">
      <c r="A20" s="520"/>
      <c r="B20" s="531" t="s">
        <v>53</v>
      </c>
      <c r="C20" s="647" t="s">
        <v>1061</v>
      </c>
      <c r="D20" s="1060" t="str">
        <f>IF(C20="","Walkover date required ▲","Site walkover data valid until "&amp;TEXT(EDATE(C20,6),"dd/mm/yy"))</f>
        <v>Site walkover data valid until 03/10/25</v>
      </c>
      <c r="E20" s="520"/>
      <c r="F20" s="520"/>
      <c r="G20" s="520"/>
      <c r="H20" s="520"/>
      <c r="I20" s="520"/>
      <c r="J20" s="520"/>
      <c r="K20" s="520"/>
      <c r="L20" s="520"/>
      <c r="M20" s="520"/>
      <c r="N20" s="520"/>
    </row>
    <row r="21" spans="1:14" ht="39.4" customHeight="1" x14ac:dyDescent="0.25">
      <c r="A21" s="520"/>
      <c r="B21" s="526" t="s">
        <v>54</v>
      </c>
      <c r="C21" s="1038" t="s">
        <v>1052</v>
      </c>
      <c r="D21" s="1039"/>
      <c r="E21" s="520"/>
      <c r="F21" s="520"/>
      <c r="G21" s="520"/>
      <c r="H21" s="520"/>
      <c r="I21" s="520"/>
      <c r="J21" s="520"/>
      <c r="K21" s="520"/>
      <c r="L21" s="520"/>
      <c r="M21" s="520"/>
      <c r="N21" s="520"/>
    </row>
    <row r="22" spans="1:14" ht="26.65" customHeight="1" x14ac:dyDescent="0.25">
      <c r="A22" s="520"/>
      <c r="B22" s="542" t="s">
        <v>55</v>
      </c>
      <c r="C22" s="520"/>
      <c r="D22" s="520"/>
      <c r="E22" s="520"/>
      <c r="F22" s="520"/>
      <c r="G22" s="520"/>
      <c r="H22" s="520"/>
      <c r="I22" s="520"/>
      <c r="J22" s="520"/>
      <c r="K22" s="520"/>
      <c r="L22" s="520"/>
      <c r="M22" s="520"/>
      <c r="N22" s="520"/>
    </row>
    <row r="23" spans="1:14" ht="56.65" customHeight="1" x14ac:dyDescent="0.25">
      <c r="A23" s="520"/>
      <c r="B23" s="646" t="s">
        <v>56</v>
      </c>
      <c r="C23" s="1036"/>
      <c r="D23" s="1037"/>
      <c r="E23" s="520"/>
      <c r="F23" s="520"/>
      <c r="G23" s="520"/>
      <c r="H23" s="520"/>
      <c r="I23" s="520"/>
      <c r="J23" s="520"/>
      <c r="K23" s="520"/>
      <c r="L23" s="520"/>
      <c r="M23" s="520"/>
      <c r="N23" s="520"/>
    </row>
    <row r="24" spans="1:14" ht="14.65" customHeight="1" x14ac:dyDescent="0.25">
      <c r="A24" s="520"/>
      <c r="B24" s="520"/>
      <c r="C24" s="520"/>
      <c r="D24" s="520"/>
      <c r="E24" s="520"/>
      <c r="F24" s="520"/>
      <c r="G24" s="520"/>
      <c r="H24" s="520"/>
      <c r="I24" s="520"/>
      <c r="J24" s="520"/>
      <c r="K24" s="520"/>
      <c r="L24" s="520"/>
      <c r="M24" s="520"/>
      <c r="N24" s="520"/>
    </row>
    <row r="25" spans="1:14" ht="14.65" customHeight="1" x14ac:dyDescent="0.25">
      <c r="A25" s="520"/>
      <c r="B25" s="520"/>
      <c r="C25" s="520"/>
      <c r="D25" s="520"/>
      <c r="E25" s="520"/>
      <c r="F25" s="520"/>
      <c r="G25" s="520"/>
      <c r="H25" s="520"/>
      <c r="I25" s="520"/>
      <c r="J25" s="520"/>
      <c r="K25" s="520"/>
      <c r="L25" s="520"/>
      <c r="M25" s="520"/>
      <c r="N25" s="520"/>
    </row>
    <row r="26" spans="1:14" ht="15" hidden="1" customHeight="1" x14ac:dyDescent="0.25">
      <c r="A26" s="520"/>
      <c r="B26" s="520"/>
      <c r="C26" s="520"/>
      <c r="D26" s="520"/>
      <c r="E26" s="520"/>
      <c r="F26" s="520"/>
      <c r="G26" s="520"/>
      <c r="H26" s="520"/>
      <c r="I26" s="520"/>
      <c r="J26" s="520"/>
      <c r="K26" s="520"/>
      <c r="L26" s="520"/>
      <c r="M26" s="520"/>
      <c r="N26" s="520"/>
    </row>
    <row r="27" spans="1:14" ht="15" hidden="1" customHeight="1" x14ac:dyDescent="0.25">
      <c r="A27" s="520"/>
      <c r="B27" s="520"/>
      <c r="C27" s="520"/>
      <c r="D27" s="520"/>
      <c r="E27" s="520"/>
      <c r="F27" s="520"/>
      <c r="G27" s="520"/>
      <c r="H27" s="520"/>
      <c r="I27" s="520"/>
      <c r="J27" s="520"/>
      <c r="K27" s="520"/>
      <c r="L27" s="520"/>
      <c r="M27" s="520"/>
      <c r="N27" s="520"/>
    </row>
    <row r="28" spans="1:14" hidden="1" x14ac:dyDescent="0.25">
      <c r="A28" s="520"/>
      <c r="B28" s="520"/>
      <c r="C28" s="520"/>
      <c r="D28" s="520"/>
      <c r="E28" s="520"/>
      <c r="F28" s="520"/>
      <c r="G28" s="520"/>
      <c r="H28" s="520"/>
      <c r="I28" s="520"/>
      <c r="J28" s="520"/>
      <c r="K28" s="520"/>
      <c r="L28" s="520"/>
      <c r="M28" s="520"/>
      <c r="N28" s="520"/>
    </row>
    <row r="29" spans="1:14" hidden="1" x14ac:dyDescent="0.25">
      <c r="A29" s="520"/>
      <c r="B29" s="520"/>
      <c r="C29" s="520"/>
      <c r="D29" s="520"/>
      <c r="E29" s="520"/>
      <c r="F29" s="520"/>
      <c r="G29" s="520"/>
      <c r="H29" s="520"/>
      <c r="I29" s="520"/>
      <c r="J29" s="520"/>
      <c r="K29" s="520"/>
      <c r="L29" s="520"/>
      <c r="M29" s="520"/>
      <c r="N29" s="520"/>
    </row>
    <row r="30" spans="1:14" hidden="1" x14ac:dyDescent="0.25">
      <c r="A30" s="520"/>
      <c r="B30" s="520"/>
      <c r="C30" s="520"/>
      <c r="D30" s="520"/>
      <c r="E30" s="520"/>
      <c r="F30" s="520"/>
      <c r="G30" s="520"/>
      <c r="H30" s="520"/>
      <c r="I30" s="520"/>
      <c r="J30" s="520"/>
      <c r="K30" s="520"/>
      <c r="L30" s="520"/>
      <c r="M30" s="520"/>
      <c r="N30" s="520"/>
    </row>
    <row r="31" spans="1:14" hidden="1" x14ac:dyDescent="0.25">
      <c r="A31" s="520"/>
      <c r="B31" s="520"/>
      <c r="C31" s="520"/>
      <c r="D31" s="520"/>
      <c r="E31" s="520"/>
      <c r="F31" s="520"/>
      <c r="G31" s="520"/>
      <c r="H31" s="520"/>
    </row>
    <row r="32" spans="1:14" hidden="1" x14ac:dyDescent="0.25">
      <c r="A32" s="520"/>
      <c r="B32" s="520"/>
      <c r="C32" s="520"/>
      <c r="D32" s="520"/>
      <c r="E32" s="520"/>
      <c r="F32" s="520"/>
      <c r="G32" s="520"/>
      <c r="H32" s="520"/>
    </row>
    <row r="33" spans="1:8" hidden="1" x14ac:dyDescent="0.25">
      <c r="A33" s="520"/>
      <c r="B33" s="520"/>
      <c r="C33" s="520"/>
      <c r="D33" s="520"/>
      <c r="E33" s="520"/>
      <c r="F33" s="520"/>
      <c r="G33" s="520"/>
      <c r="H33" s="520"/>
    </row>
    <row r="34" spans="1:8" hidden="1" x14ac:dyDescent="0.25">
      <c r="A34" s="520"/>
      <c r="B34" s="520"/>
      <c r="C34" s="520"/>
      <c r="D34" s="520"/>
      <c r="E34" s="520"/>
      <c r="F34" s="520"/>
      <c r="G34" s="520"/>
      <c r="H34" s="520"/>
    </row>
    <row r="35" spans="1:8" hidden="1" x14ac:dyDescent="0.25">
      <c r="A35" s="520"/>
      <c r="B35" s="520"/>
      <c r="C35" s="520"/>
      <c r="D35" s="520"/>
      <c r="E35" s="520"/>
      <c r="F35" s="520"/>
      <c r="G35" s="520"/>
      <c r="H35" s="520"/>
    </row>
    <row r="36" spans="1:8" hidden="1" x14ac:dyDescent="0.25">
      <c r="A36" s="520"/>
      <c r="B36" s="520"/>
      <c r="C36" s="520"/>
      <c r="D36" s="520"/>
      <c r="E36" s="520"/>
      <c r="F36" s="520"/>
      <c r="G36" s="520"/>
      <c r="H36" s="520"/>
    </row>
    <row r="37" spans="1:8" hidden="1" x14ac:dyDescent="0.25">
      <c r="A37" s="520"/>
      <c r="B37" s="520"/>
      <c r="C37" s="520"/>
      <c r="D37" s="520"/>
      <c r="E37" s="520"/>
      <c r="F37" s="520"/>
      <c r="G37" s="520"/>
      <c r="H37" s="520"/>
    </row>
    <row r="38" spans="1:8" hidden="1" x14ac:dyDescent="0.25">
      <c r="A38" s="520"/>
      <c r="B38" s="520"/>
      <c r="C38" s="520"/>
      <c r="D38" s="520"/>
      <c r="E38" s="520"/>
      <c r="F38" s="520"/>
      <c r="G38" s="520"/>
      <c r="H38" s="520"/>
    </row>
    <row r="39" spans="1:8" hidden="1" x14ac:dyDescent="0.25">
      <c r="A39" s="520"/>
      <c r="B39" s="520"/>
      <c r="C39" s="520"/>
      <c r="D39" s="520"/>
      <c r="E39" s="520"/>
      <c r="F39" s="520"/>
      <c r="G39" s="520"/>
      <c r="H39" s="520"/>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0" priority="15">
      <formula>IF(C6&lt;&gt;"",TRUE,"")</formula>
    </cfRule>
  </conditionalFormatting>
  <conditionalFormatting sqref="C7">
    <cfRule type="expression" dxfId="199" priority="18">
      <formula>IF(AND(LEFT(D7,1)="E",C7&lt;&gt;""),TRUE,"")</formula>
    </cfRule>
    <cfRule type="expression" dxfId="198" priority="19" stopIfTrue="1">
      <formula>IF(AND(LEFT(D7,1)&lt;&gt;"E",C7&lt;&gt;""),TRUE,"")</formula>
    </cfRule>
  </conditionalFormatting>
  <conditionalFormatting sqref="C8">
    <cfRule type="expression" dxfId="197" priority="17">
      <formula>AND(C8&gt;0,C8&lt;=C7,C8&lt;1001)</formula>
    </cfRule>
  </conditionalFormatting>
  <conditionalFormatting sqref="C8:C9">
    <cfRule type="expression" dxfId="196" priority="11" stopIfTrue="1">
      <formula>IF(LEFT(D8,1)="E","TRUE","")</formula>
    </cfRule>
  </conditionalFormatting>
  <conditionalFormatting sqref="C9">
    <cfRule type="containsText" dxfId="195" priority="8" operator="containsText" text="Unknown">
      <formula>NOT(ISERROR(SEARCH("Unknown",C9)))</formula>
    </cfRule>
    <cfRule type="expression" dxfId="194" priority="12">
      <formula>AND(C9&gt;0,LEFT(D10,1)&lt;&gt;"E")</formula>
    </cfRule>
  </conditionalFormatting>
  <conditionalFormatting sqref="C11:C12">
    <cfRule type="expression" dxfId="193" priority="21">
      <formula>C11="Within 500m of site boundary"</formula>
    </cfRule>
    <cfRule type="expression" dxfId="192" priority="22">
      <formula>C11="On site"</formula>
    </cfRule>
    <cfRule type="expression" dxfId="191" priority="23">
      <formula>C11="No"</formula>
    </cfRule>
  </conditionalFormatting>
  <conditionalFormatting sqref="C16">
    <cfRule type="expression" dxfId="190" priority="4">
      <formula>C16="Within 500m of site boundary"</formula>
    </cfRule>
    <cfRule type="expression" dxfId="189" priority="5">
      <formula>C16="On site"</formula>
    </cfRule>
    <cfRule type="expression" dxfId="188" priority="6">
      <formula>C16="No"</formula>
    </cfRule>
  </conditionalFormatting>
  <conditionalFormatting sqref="C19:C20">
    <cfRule type="expression" dxfId="187" priority="24">
      <formula>C19="Walkover completed by competent person"</formula>
    </cfRule>
    <cfRule type="expression" dxfId="186" priority="25">
      <formula>C19="No walkover undertaken"</formula>
    </cfRule>
    <cfRule type="expression" dxfId="185" priority="26">
      <formula>C19="Walkover completed by qualified ecologist"</formula>
    </cfRule>
  </conditionalFormatting>
  <conditionalFormatting sqref="D7">
    <cfRule type="expression" dxfId="184" priority="14">
      <formula>IF(LEFT(D7,1)="E","TRUE","")</formula>
    </cfRule>
  </conditionalFormatting>
  <conditionalFormatting sqref="D8:D9">
    <cfRule type="containsText" dxfId="183" priority="10" operator="containsText" text="ERROR">
      <formula>NOT(ISERROR(SEARCH("ERROR",D8)))</formula>
    </cfRule>
  </conditionalFormatting>
  <conditionalFormatting sqref="D11:D12">
    <cfRule type="containsText" dxfId="182" priority="9" operator="containsText" text="Consider">
      <formula>NOT(ISERROR(SEARCH("Consider",D11)))</formula>
    </cfRule>
    <cfRule type="expression" dxfId="181" priority="27">
      <formula>C11="On site"</formula>
    </cfRule>
  </conditionalFormatting>
  <conditionalFormatting sqref="D16">
    <cfRule type="containsText" dxfId="180" priority="1" operator="containsText" text="ERROR">
      <formula>NOT(ISERROR(SEARCH("ERROR",D16)))</formula>
    </cfRule>
    <cfRule type="containsText" dxfId="179" priority="2" operator="containsText" text="Consider">
      <formula>NOT(ISERROR(SEARCH("Consider",D16)))</formula>
    </cfRule>
    <cfRule type="expression" dxfId="178" priority="3">
      <formula>C16="On site"</formula>
    </cfRule>
  </conditionalFormatting>
  <conditionalFormatting sqref="D19">
    <cfRule type="expression" dxfId="177" priority="31">
      <formula>$C$19="Walkover completed by competent person"</formula>
    </cfRule>
    <cfRule type="expression" dxfId="176" priority="32">
      <formula>C19="No walkover undertaken"</formula>
    </cfRule>
  </conditionalFormatting>
  <conditionalFormatting sqref="D20">
    <cfRule type="containsText" dxfId="175" priority="20" operator="containsText" text="Walkover date required">
      <formula>NOT(ISERROR(SEARCH("Walkover date required",D20)))</formula>
    </cfRule>
  </conditionalFormatting>
  <conditionalFormatting sqref="E6:H6">
    <cfRule type="notContainsBlanks" dxfId="174"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defaultColWidth="8.7109375" defaultRowHeight="15" zeroHeight="1" x14ac:dyDescent="0.25"/>
  <cols>
    <col min="1" max="1" width="3.42578125" style="520" customWidth="1"/>
    <col min="2" max="2" width="16.42578125" style="520" bestFit="1" customWidth="1"/>
    <col min="3" max="3" width="32.28515625" style="520" bestFit="1" customWidth="1"/>
    <col min="4" max="5" width="89.7109375" style="520" customWidth="1"/>
    <col min="6" max="7" width="8.7109375" style="520" customWidth="1"/>
    <col min="8" max="16382" width="8.7109375" style="520" hidden="1" customWidth="1"/>
    <col min="16383" max="16384" width="8.7109375" style="520" customWidth="1"/>
  </cols>
  <sheetData>
    <row r="1" spans="2:34" ht="15" customHeight="1" x14ac:dyDescent="0.25"/>
    <row r="2" spans="2:34" ht="24.6" customHeight="1" x14ac:dyDescent="0.3">
      <c r="B2" s="420" t="s">
        <v>39</v>
      </c>
      <c r="C2" s="419"/>
      <c r="D2" s="741" t="str">
        <f>IF('2. Site Details'!D4="","Enter site name on 2. Site Details",'2. Site Details'!D4)</f>
        <v>Kennally SSJ</v>
      </c>
      <c r="E2" s="41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417" t="s">
        <v>16</v>
      </c>
      <c r="C3" s="416"/>
      <c r="D3" s="742" t="s">
        <v>57</v>
      </c>
      <c r="E3" s="418"/>
    </row>
    <row r="4" spans="2:34" ht="24.6" customHeight="1" x14ac:dyDescent="0.25"/>
    <row r="5" spans="2:34" ht="31.15" customHeight="1" x14ac:dyDescent="0.35">
      <c r="B5" s="543" t="s">
        <v>58</v>
      </c>
      <c r="C5" s="545"/>
      <c r="D5" s="415" t="s">
        <v>59</v>
      </c>
      <c r="E5" s="415"/>
    </row>
    <row r="6" spans="2:34" ht="15" customHeight="1" x14ac:dyDescent="0.25"/>
    <row r="7" spans="2:34" ht="30.6" customHeight="1" x14ac:dyDescent="0.25">
      <c r="B7" s="672" t="s">
        <v>60</v>
      </c>
      <c r="C7" s="673" t="s">
        <v>61</v>
      </c>
      <c r="D7" s="673" t="s">
        <v>62</v>
      </c>
      <c r="E7" s="674" t="s">
        <v>63</v>
      </c>
    </row>
    <row r="8" spans="2:34" ht="33" customHeight="1" x14ac:dyDescent="0.25">
      <c r="B8" s="414">
        <v>1</v>
      </c>
      <c r="C8" s="653" t="s">
        <v>64</v>
      </c>
      <c r="D8" s="877" t="s">
        <v>65</v>
      </c>
      <c r="E8" s="878"/>
    </row>
    <row r="9" spans="2:34" ht="303.75" customHeight="1" x14ac:dyDescent="0.25">
      <c r="B9" s="413"/>
      <c r="C9" s="671" t="str">
        <f>IF('5. Area Habitats'!D11=0,"",'5. Area Habitats'!D11)</f>
        <v>Modified grassland</v>
      </c>
      <c r="D9" s="676"/>
      <c r="E9" s="677"/>
      <c r="K9" s="544"/>
      <c r="L9" s="544"/>
      <c r="M9" s="544"/>
      <c r="N9" s="544"/>
      <c r="O9" s="544"/>
      <c r="P9" s="544"/>
      <c r="Q9" s="544"/>
      <c r="R9" s="544"/>
      <c r="S9" s="544"/>
      <c r="T9" s="544"/>
      <c r="U9" s="544"/>
      <c r="V9" s="544"/>
      <c r="W9" s="544"/>
      <c r="X9" s="544"/>
      <c r="Y9" s="544"/>
      <c r="Z9" s="544"/>
      <c r="AA9" s="544"/>
      <c r="AB9" s="544"/>
      <c r="AC9" s="544"/>
      <c r="AD9" s="544"/>
      <c r="AE9" s="544"/>
      <c r="AF9" s="544"/>
      <c r="AG9" s="544"/>
      <c r="AH9" s="544"/>
    </row>
    <row r="10" spans="2:34" ht="33" customHeight="1" x14ac:dyDescent="0.25">
      <c r="B10" s="414">
        <v>2</v>
      </c>
      <c r="C10" s="653" t="s">
        <v>64</v>
      </c>
      <c r="D10" s="877"/>
      <c r="E10" s="878"/>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2:34" ht="303.75" customHeight="1" x14ac:dyDescent="0.25">
      <c r="B11" s="413"/>
      <c r="C11" s="671" t="str">
        <f>IF('5. Area Habitats'!D12=0,"",'5. Area Habitats'!D12)</f>
        <v/>
      </c>
      <c r="D11" s="676"/>
      <c r="E11" s="677"/>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row>
    <row r="12" spans="2:34" ht="33" customHeight="1" x14ac:dyDescent="0.25">
      <c r="B12" s="414">
        <v>3</v>
      </c>
      <c r="C12" s="653" t="s">
        <v>64</v>
      </c>
      <c r="D12" s="877"/>
      <c r="E12" s="878"/>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row>
    <row r="13" spans="2:34" ht="303.75" customHeight="1" x14ac:dyDescent="0.25">
      <c r="B13" s="413"/>
      <c r="C13" s="671" t="str">
        <f>IF('5. Area Habitats'!D13=0,"",'5. Area Habitats'!D13)</f>
        <v/>
      </c>
      <c r="D13" s="676"/>
      <c r="E13" s="677"/>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row>
    <row r="14" spans="2:34" ht="33" customHeight="1" x14ac:dyDescent="0.25">
      <c r="B14" s="412">
        <v>4</v>
      </c>
      <c r="C14" s="653" t="s">
        <v>64</v>
      </c>
      <c r="D14" s="879"/>
      <c r="E14" s="880"/>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row>
    <row r="15" spans="2:34" ht="303.75" customHeight="1" x14ac:dyDescent="0.25">
      <c r="B15" s="411"/>
      <c r="C15" s="675" t="str">
        <f>IF('5. Area Habitats'!D14=0,"",'5. Area Habitats'!D14)</f>
        <v/>
      </c>
      <c r="D15" s="678"/>
      <c r="E15" s="679"/>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row>
    <row r="16" spans="2:34" ht="33" customHeight="1" x14ac:dyDescent="0.25">
      <c r="B16" s="414">
        <v>5</v>
      </c>
      <c r="C16" s="653" t="s">
        <v>64</v>
      </c>
      <c r="D16" s="877"/>
      <c r="E16" s="878"/>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row>
    <row r="17" spans="2:34" ht="303.75" customHeight="1" x14ac:dyDescent="0.25">
      <c r="B17" s="413"/>
      <c r="C17" s="671" t="str">
        <f>IF('5. Area Habitats'!D15=0,"",'5. Area Habitats'!D15)</f>
        <v/>
      </c>
      <c r="D17" s="676"/>
      <c r="E17" s="677"/>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row>
    <row r="18" spans="2:34" ht="33" customHeight="1" x14ac:dyDescent="0.25">
      <c r="B18" s="414">
        <v>6</v>
      </c>
      <c r="C18" s="653" t="s">
        <v>64</v>
      </c>
      <c r="D18" s="877"/>
      <c r="E18" s="878"/>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row>
    <row r="19" spans="2:34" ht="303.75" customHeight="1" x14ac:dyDescent="0.25">
      <c r="B19" s="413"/>
      <c r="C19" s="671" t="str">
        <f>IF('5. Area Habitats'!D16=0,"",'5. Area Habitats'!D16)</f>
        <v/>
      </c>
      <c r="D19" s="676"/>
      <c r="E19" s="677"/>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row>
    <row r="20" spans="2:34" ht="33" customHeight="1" x14ac:dyDescent="0.25">
      <c r="B20" s="414">
        <v>7</v>
      </c>
      <c r="C20" s="653" t="s">
        <v>64</v>
      </c>
      <c r="D20" s="877"/>
      <c r="E20" s="878"/>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row>
    <row r="21" spans="2:34" ht="303.75" customHeight="1" x14ac:dyDescent="0.25">
      <c r="B21" s="413"/>
      <c r="C21" s="671" t="str">
        <f>IF('5. Area Habitats'!D17=0,"",'5. Area Habitats'!D17)</f>
        <v/>
      </c>
      <c r="D21" s="676"/>
      <c r="E21" s="677"/>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row>
    <row r="22" spans="2:34" ht="33" customHeight="1" x14ac:dyDescent="0.25">
      <c r="B22" s="414">
        <v>8</v>
      </c>
      <c r="C22" s="653" t="s">
        <v>64</v>
      </c>
      <c r="D22" s="877"/>
      <c r="E22" s="878"/>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row>
    <row r="23" spans="2:34" ht="303.75" customHeight="1" x14ac:dyDescent="0.25">
      <c r="B23" s="413"/>
      <c r="C23" s="671" t="str">
        <f>IF('5. Area Habitats'!D18=0,"",'5. Area Habitats'!D18)</f>
        <v/>
      </c>
      <c r="D23" s="676"/>
      <c r="E23" s="677"/>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row>
    <row r="24" spans="2:34" ht="33" customHeight="1" x14ac:dyDescent="0.25">
      <c r="B24" s="414">
        <v>9</v>
      </c>
      <c r="C24" s="653" t="s">
        <v>64</v>
      </c>
      <c r="D24" s="877"/>
      <c r="E24" s="878"/>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row>
    <row r="25" spans="2:34" ht="303.75" customHeight="1" x14ac:dyDescent="0.25">
      <c r="B25" s="413"/>
      <c r="C25" s="671" t="str">
        <f>IF('5. Area Habitats'!D19=0,"",'5. Area Habitats'!D19)</f>
        <v/>
      </c>
      <c r="D25" s="676"/>
      <c r="E25" s="677"/>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row>
    <row r="26" spans="2:34" ht="33" customHeight="1" x14ac:dyDescent="0.25">
      <c r="B26" s="414">
        <v>10</v>
      </c>
      <c r="C26" s="653" t="s">
        <v>64</v>
      </c>
      <c r="D26" s="877"/>
      <c r="E26" s="878"/>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303.75" customHeight="1" x14ac:dyDescent="0.25">
      <c r="B27" s="413"/>
      <c r="C27" s="671" t="str">
        <f>IF('5. Area Habitats'!D20=0,"",'5. Area Habitats'!D20)</f>
        <v/>
      </c>
      <c r="D27" s="676"/>
      <c r="E27" s="677"/>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row>
    <row r="28" spans="2:34" ht="33" customHeight="1" x14ac:dyDescent="0.25">
      <c r="B28" s="414">
        <v>11</v>
      </c>
      <c r="C28" s="653" t="s">
        <v>64</v>
      </c>
      <c r="D28" s="877"/>
      <c r="E28" s="878"/>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303.75" customHeight="1" x14ac:dyDescent="0.25">
      <c r="B29" s="413"/>
      <c r="C29" s="671" t="str">
        <f>IF('5. Area Habitats'!D21=0,"",'5. Area Habitats'!D21)</f>
        <v/>
      </c>
      <c r="D29" s="676"/>
      <c r="E29" s="677"/>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row>
    <row r="30" spans="2:34" ht="33" customHeight="1" x14ac:dyDescent="0.25">
      <c r="B30" s="414">
        <v>12</v>
      </c>
      <c r="C30" s="653" t="s">
        <v>64</v>
      </c>
      <c r="D30" s="877"/>
      <c r="E30" s="878"/>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row>
    <row r="31" spans="2:34" ht="303.75" customHeight="1" x14ac:dyDescent="0.25">
      <c r="B31" s="413"/>
      <c r="C31" s="671" t="str">
        <f>IF('5. Area Habitats'!D22=0,"",'5. Area Habitats'!D22)</f>
        <v/>
      </c>
      <c r="D31" s="676"/>
      <c r="E31" s="677"/>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row>
    <row r="32" spans="2:34" ht="33" customHeight="1" x14ac:dyDescent="0.25">
      <c r="B32" s="414">
        <v>13</v>
      </c>
      <c r="C32" s="653" t="s">
        <v>64</v>
      </c>
      <c r="D32" s="877"/>
      <c r="E32" s="878"/>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row>
    <row r="33" spans="2:34" ht="303.75" customHeight="1" x14ac:dyDescent="0.25">
      <c r="B33" s="413"/>
      <c r="C33" s="671" t="str">
        <f>IF('5. Area Habitats'!D23=0,"",'5. Area Habitats'!D23)</f>
        <v/>
      </c>
      <c r="D33" s="676"/>
      <c r="E33" s="677"/>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row>
    <row r="34" spans="2:34" ht="33" customHeight="1" x14ac:dyDescent="0.25">
      <c r="B34" s="414">
        <v>14</v>
      </c>
      <c r="C34" s="653" t="s">
        <v>64</v>
      </c>
      <c r="D34" s="877"/>
      <c r="E34" s="878"/>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row>
    <row r="35" spans="2:34" ht="303.75" customHeight="1" x14ac:dyDescent="0.25">
      <c r="B35" s="413"/>
      <c r="C35" s="671" t="str">
        <f>IF('5. Area Habitats'!D24=0,"",'5. Area Habitats'!D24)</f>
        <v/>
      </c>
      <c r="D35" s="676"/>
      <c r="E35" s="677"/>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row>
    <row r="36" spans="2:34" ht="33" customHeight="1" x14ac:dyDescent="0.25">
      <c r="B36" s="414">
        <v>15</v>
      </c>
      <c r="C36" s="653" t="s">
        <v>64</v>
      </c>
      <c r="D36" s="877"/>
      <c r="E36" s="878"/>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row>
    <row r="37" spans="2:34" ht="303.75" customHeight="1" x14ac:dyDescent="0.25">
      <c r="B37" s="413"/>
      <c r="C37" s="671" t="str">
        <f>IF('5. Area Habitats'!D25=0,"",'5. Area Habitats'!D25)</f>
        <v/>
      </c>
      <c r="D37" s="676"/>
      <c r="E37" s="677"/>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row>
    <row r="38" spans="2:34" ht="33" customHeight="1" x14ac:dyDescent="0.25">
      <c r="B38" s="414">
        <v>16</v>
      </c>
      <c r="C38" s="653" t="s">
        <v>64</v>
      </c>
      <c r="D38" s="877"/>
      <c r="E38" s="878"/>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row>
    <row r="39" spans="2:34" ht="303.75" customHeight="1" x14ac:dyDescent="0.25">
      <c r="B39" s="413"/>
      <c r="C39" s="671" t="str">
        <f>IF('5. Area Habitats'!D26=0,"",'5. Area Habitats'!D26)</f>
        <v/>
      </c>
      <c r="D39" s="676"/>
      <c r="E39" s="677"/>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row>
    <row r="40" spans="2:34" ht="33" customHeight="1" x14ac:dyDescent="0.25">
      <c r="B40" s="414">
        <v>17</v>
      </c>
      <c r="C40" s="653" t="s">
        <v>64</v>
      </c>
      <c r="D40" s="877"/>
      <c r="E40" s="878"/>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row>
    <row r="41" spans="2:34" ht="303.75" customHeight="1" x14ac:dyDescent="0.25">
      <c r="B41" s="413"/>
      <c r="C41" s="671" t="str">
        <f>IF('5. Area Habitats'!D27=0,"",'5. Area Habitats'!D27)</f>
        <v/>
      </c>
      <c r="D41" s="676"/>
      <c r="E41" s="677"/>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row>
    <row r="42" spans="2:34" ht="33" customHeight="1" x14ac:dyDescent="0.25">
      <c r="B42" s="414">
        <v>18</v>
      </c>
      <c r="C42" s="653" t="s">
        <v>64</v>
      </c>
      <c r="D42" s="877"/>
      <c r="E42" s="878"/>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row>
    <row r="43" spans="2:34" ht="303.75" customHeight="1" x14ac:dyDescent="0.25">
      <c r="B43" s="413"/>
      <c r="C43" s="671" t="str">
        <f>IF('5. Area Habitats'!D28=0,"",'5. Area Habitats'!D28)</f>
        <v/>
      </c>
      <c r="D43" s="676"/>
      <c r="E43" s="677"/>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row>
    <row r="44" spans="2:34" ht="33" customHeight="1" x14ac:dyDescent="0.25">
      <c r="B44" s="414">
        <v>19</v>
      </c>
      <c r="C44" s="653" t="s">
        <v>64</v>
      </c>
      <c r="D44" s="877"/>
      <c r="E44" s="878"/>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row>
    <row r="45" spans="2:34" ht="303.75" customHeight="1" x14ac:dyDescent="0.25">
      <c r="B45" s="413"/>
      <c r="C45" s="671" t="str">
        <f>IF('5. Area Habitats'!D29=0,"",'5. Area Habitats'!D29)</f>
        <v/>
      </c>
      <c r="D45" s="676"/>
      <c r="E45" s="677"/>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row>
    <row r="46" spans="2:34" ht="33" customHeight="1" x14ac:dyDescent="0.25">
      <c r="B46" s="414">
        <v>20</v>
      </c>
      <c r="C46" s="653" t="s">
        <v>64</v>
      </c>
      <c r="D46" s="877"/>
      <c r="E46" s="878"/>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row>
    <row r="47" spans="2:34" ht="303.75" customHeight="1" x14ac:dyDescent="0.25">
      <c r="B47" s="413"/>
      <c r="C47" s="671" t="str">
        <f>IF('5. Area Habitats'!D30=0,"",'5. Area Habitats'!D30)</f>
        <v/>
      </c>
      <c r="D47" s="676"/>
      <c r="E47" s="677"/>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row>
    <row r="48" spans="2:34" x14ac:dyDescent="0.25">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row>
    <row r="49" spans="11:34" x14ac:dyDescent="0.25">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row>
    <row r="50" spans="11:34" x14ac:dyDescent="0.25">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row>
    <row r="51" spans="11:34" x14ac:dyDescent="0.25">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row>
    <row r="52" spans="11:34" hidden="1" x14ac:dyDescent="0.25">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row>
    <row r="53" spans="11:34" hidden="1" x14ac:dyDescent="0.25">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row>
    <row r="54" spans="11:34" hidden="1" x14ac:dyDescent="0.25">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row>
    <row r="55" spans="11:34" hidden="1" x14ac:dyDescent="0.25">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row>
    <row r="56" spans="11:34" hidden="1" x14ac:dyDescent="0.25">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row>
    <row r="57" spans="11:34" hidden="1" x14ac:dyDescent="0.25">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row>
    <row r="58" spans="11:34" hidden="1" x14ac:dyDescent="0.25">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row>
    <row r="59" spans="11:34" hidden="1" x14ac:dyDescent="0.25">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1:34" hidden="1" x14ac:dyDescent="0.25">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row>
    <row r="61" spans="11:34" hidden="1" x14ac:dyDescent="0.25">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1:34" hidden="1" x14ac:dyDescent="0.25">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row>
    <row r="63" spans="11:34" hidden="1" x14ac:dyDescent="0.25">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row>
    <row r="64" spans="11:34" hidden="1" x14ac:dyDescent="0.25">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row>
    <row r="65" spans="2:34" hidden="1" x14ac:dyDescent="0.25">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row>
    <row r="66" spans="2:34" hidden="1" x14ac:dyDescent="0.25">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2:34" hidden="1" x14ac:dyDescent="0.25">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row>
    <row r="68" spans="2:34" hidden="1" x14ac:dyDescent="0.25">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c r="AH68" s="544"/>
    </row>
    <row r="69" spans="2:34" hidden="1" x14ac:dyDescent="0.25">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row>
    <row r="70" spans="2:34" hidden="1" x14ac:dyDescent="0.25">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row>
    <row r="71" spans="2:34" hidden="1" x14ac:dyDescent="0.25">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2:34" hidden="1" x14ac:dyDescent="0.25">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row>
    <row r="73" spans="2:34" hidden="1" x14ac:dyDescent="0.25">
      <c r="K73" s="544"/>
      <c r="L73" s="544"/>
      <c r="M73" s="544"/>
      <c r="N73" s="544"/>
      <c r="O73" s="544"/>
      <c r="P73" s="544"/>
      <c r="Q73" s="544"/>
      <c r="R73" s="544"/>
      <c r="S73" s="544"/>
      <c r="T73" s="544"/>
      <c r="U73" s="544"/>
      <c r="V73" s="544"/>
      <c r="W73" s="544"/>
      <c r="X73" s="544"/>
      <c r="Y73" s="544"/>
      <c r="Z73" s="544"/>
      <c r="AA73" s="544"/>
      <c r="AB73" s="544"/>
      <c r="AC73" s="544"/>
      <c r="AD73" s="544"/>
      <c r="AE73" s="544"/>
      <c r="AF73" s="544"/>
      <c r="AG73" s="544"/>
      <c r="AH73" s="544"/>
    </row>
    <row r="74" spans="2:34" hidden="1" x14ac:dyDescent="0.25">
      <c r="B74" s="544"/>
      <c r="C74" s="544"/>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row>
    <row r="75" spans="2:34" hidden="1" x14ac:dyDescent="0.25">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2:34" hidden="1" x14ac:dyDescent="0.25">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row>
    <row r="77" spans="2:34" hidden="1" x14ac:dyDescent="0.25">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row>
    <row r="78" spans="2:34" hidden="1" x14ac:dyDescent="0.25">
      <c r="B78" s="544"/>
      <c r="C78" s="544"/>
      <c r="D78" s="544"/>
      <c r="E78" s="544"/>
      <c r="F78" s="544"/>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row>
    <row r="79" spans="2:34" hidden="1" x14ac:dyDescent="0.25">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row>
    <row r="80" spans="2:34" hidden="1" x14ac:dyDescent="0.25">
      <c r="B80" s="544"/>
      <c r="C80" s="544"/>
      <c r="D80" s="544"/>
      <c r="E80" s="544"/>
      <c r="F80" s="544"/>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row>
    <row r="81" spans="1:34" hidden="1" x14ac:dyDescent="0.25">
      <c r="B81" s="544"/>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4"/>
      <c r="AC81" s="544"/>
      <c r="AD81" s="544"/>
      <c r="AE81" s="544"/>
      <c r="AF81" s="544"/>
      <c r="AG81" s="544"/>
      <c r="AH81" s="544"/>
    </row>
    <row r="82" spans="1:34" hidden="1" x14ac:dyDescent="0.25">
      <c r="A82" s="544"/>
      <c r="B82" s="544"/>
      <c r="C82" s="544"/>
      <c r="D82" s="544"/>
      <c r="E82" s="544"/>
      <c r="F82" s="544"/>
      <c r="G82" s="544"/>
      <c r="H82" s="544"/>
      <c r="I82" s="544"/>
      <c r="J82" s="544"/>
      <c r="K82" s="544"/>
      <c r="L82" s="544"/>
      <c r="M82" s="544"/>
      <c r="N82" s="544"/>
      <c r="O82" s="544"/>
      <c r="P82" s="544"/>
      <c r="Q82" s="544"/>
      <c r="R82" s="544"/>
      <c r="S82" s="544"/>
      <c r="T82" s="544"/>
      <c r="U82" s="544"/>
      <c r="V82" s="544"/>
      <c r="W82" s="544"/>
      <c r="X82" s="544"/>
      <c r="Y82" s="544"/>
      <c r="Z82" s="544"/>
      <c r="AA82" s="544"/>
      <c r="AB82" s="544"/>
      <c r="AC82" s="544"/>
      <c r="AD82" s="544"/>
      <c r="AE82" s="544"/>
      <c r="AF82" s="544"/>
      <c r="AG82" s="544"/>
      <c r="AH82" s="544"/>
    </row>
    <row r="83" spans="1:34" hidden="1" x14ac:dyDescent="0.25">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row>
    <row r="84" spans="1:34" hidden="1" x14ac:dyDescent="0.25">
      <c r="A84" s="544"/>
      <c r="B84" s="544"/>
      <c r="C84" s="544"/>
      <c r="D84" s="544"/>
      <c r="E84" s="544"/>
      <c r="F84" s="544"/>
      <c r="G84" s="544"/>
      <c r="H84" s="544"/>
      <c r="I84" s="544"/>
      <c r="J84" s="544"/>
      <c r="K84" s="544"/>
      <c r="L84" s="544"/>
      <c r="M84" s="544"/>
      <c r="N84" s="544"/>
      <c r="O84" s="544"/>
      <c r="P84" s="544"/>
      <c r="Q84" s="544"/>
      <c r="R84" s="544"/>
      <c r="S84" s="544"/>
      <c r="T84" s="544"/>
      <c r="U84" s="544"/>
      <c r="V84" s="544"/>
      <c r="W84" s="544"/>
      <c r="X84" s="544"/>
      <c r="Y84" s="544"/>
      <c r="Z84" s="544"/>
      <c r="AA84" s="544"/>
      <c r="AB84" s="544"/>
      <c r="AC84" s="544"/>
      <c r="AD84" s="544"/>
      <c r="AE84" s="544"/>
      <c r="AF84" s="544"/>
      <c r="AG84" s="544"/>
      <c r="AH84" s="544"/>
    </row>
    <row r="85" spans="1:34" hidden="1" x14ac:dyDescent="0.25">
      <c r="A85" s="544"/>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44"/>
      <c r="AD85" s="544"/>
      <c r="AE85" s="544"/>
      <c r="AF85" s="544"/>
      <c r="AG85" s="544"/>
      <c r="AH85" s="544"/>
    </row>
    <row r="86" spans="1:34" hidden="1" x14ac:dyDescent="0.25">
      <c r="A86" s="544"/>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44"/>
      <c r="AD86" s="544"/>
      <c r="AE86" s="544"/>
      <c r="AF86" s="544"/>
      <c r="AG86" s="544"/>
      <c r="AH86" s="544"/>
    </row>
    <row r="87" spans="1:34" hidden="1" x14ac:dyDescent="0.25">
      <c r="A87" s="544"/>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row>
    <row r="88" spans="1:34" hidden="1" x14ac:dyDescent="0.25">
      <c r="A88" s="544"/>
      <c r="B88" s="544"/>
      <c r="C88" s="544"/>
      <c r="D88" s="544"/>
      <c r="E88" s="544"/>
      <c r="F88" s="544"/>
      <c r="G88" s="544"/>
      <c r="H88" s="544"/>
      <c r="I88" s="544"/>
      <c r="J88" s="544"/>
      <c r="K88" s="544"/>
      <c r="L88" s="544"/>
      <c r="M88" s="544"/>
      <c r="N88" s="544"/>
      <c r="O88" s="544"/>
      <c r="P88" s="544"/>
      <c r="Q88" s="544"/>
      <c r="R88" s="544"/>
      <c r="S88" s="544"/>
      <c r="T88" s="544"/>
      <c r="U88" s="544"/>
      <c r="V88" s="544"/>
      <c r="W88" s="544"/>
      <c r="X88" s="544"/>
      <c r="Y88" s="544"/>
      <c r="Z88" s="544"/>
      <c r="AA88" s="544"/>
      <c r="AB88" s="544"/>
      <c r="AC88" s="544"/>
      <c r="AD88" s="544"/>
      <c r="AE88" s="544"/>
      <c r="AF88" s="544"/>
      <c r="AG88" s="544"/>
      <c r="AH88" s="544"/>
    </row>
    <row r="89" spans="1:34" hidden="1" x14ac:dyDescent="0.25">
      <c r="A89" s="544"/>
      <c r="B89" s="544"/>
      <c r="C89" s="544"/>
      <c r="D89" s="544"/>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row>
    <row r="90" spans="1:34" hidden="1" x14ac:dyDescent="0.25">
      <c r="A90" s="544"/>
      <c r="B90" s="544"/>
      <c r="C90" s="544"/>
      <c r="D90" s="544"/>
      <c r="E90" s="544"/>
      <c r="F90" s="544"/>
      <c r="G90" s="544"/>
      <c r="H90" s="544"/>
      <c r="I90" s="544"/>
      <c r="J90" s="544"/>
      <c r="K90" s="544"/>
      <c r="L90" s="544"/>
      <c r="M90" s="544"/>
      <c r="N90" s="544"/>
      <c r="O90" s="544"/>
      <c r="P90" s="544"/>
      <c r="Q90" s="544"/>
      <c r="R90" s="544"/>
      <c r="S90" s="544"/>
      <c r="T90" s="544"/>
      <c r="U90" s="544"/>
      <c r="V90" s="544"/>
      <c r="W90" s="544"/>
      <c r="X90" s="544"/>
      <c r="Y90" s="544"/>
      <c r="Z90" s="544"/>
      <c r="AA90" s="544"/>
      <c r="AB90" s="544"/>
      <c r="AC90" s="544"/>
      <c r="AD90" s="544"/>
      <c r="AE90" s="544"/>
      <c r="AF90" s="544"/>
      <c r="AG90" s="544"/>
      <c r="AH90" s="544"/>
    </row>
    <row r="91" spans="1:34" hidden="1" x14ac:dyDescent="0.25">
      <c r="A91" s="544"/>
      <c r="B91" s="544"/>
      <c r="C91" s="544"/>
      <c r="D91" s="544"/>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row>
    <row r="92" spans="1:34" hidden="1" x14ac:dyDescent="0.25">
      <c r="A92" s="544"/>
      <c r="B92" s="544"/>
      <c r="C92" s="544"/>
      <c r="D92" s="544"/>
      <c r="E92" s="544"/>
      <c r="F92" s="544"/>
      <c r="G92" s="544"/>
      <c r="H92" s="544"/>
      <c r="I92" s="544"/>
      <c r="J92" s="544"/>
      <c r="K92" s="544"/>
      <c r="L92" s="544"/>
      <c r="M92" s="544"/>
      <c r="N92" s="544"/>
      <c r="O92" s="544"/>
      <c r="P92" s="544"/>
      <c r="Q92" s="544"/>
      <c r="R92" s="544"/>
      <c r="S92" s="544"/>
      <c r="T92" s="544"/>
      <c r="U92" s="544"/>
      <c r="V92" s="544"/>
      <c r="W92" s="544"/>
      <c r="X92" s="544"/>
      <c r="Y92" s="544"/>
      <c r="Z92" s="544"/>
      <c r="AA92" s="544"/>
      <c r="AB92" s="544"/>
      <c r="AC92" s="544"/>
      <c r="AD92" s="544"/>
      <c r="AE92" s="544"/>
      <c r="AF92" s="544"/>
      <c r="AG92" s="544"/>
      <c r="AH92" s="544"/>
    </row>
    <row r="93" spans="1:34" hidden="1" x14ac:dyDescent="0.25">
      <c r="A93" s="544"/>
      <c r="B93" s="544"/>
      <c r="C93" s="544"/>
      <c r="D93" s="544"/>
      <c r="E93" s="544"/>
      <c r="F93" s="544"/>
      <c r="G93" s="544"/>
      <c r="H93" s="544"/>
      <c r="I93" s="544"/>
      <c r="J93" s="544"/>
      <c r="K93" s="544"/>
      <c r="L93" s="544"/>
      <c r="M93" s="544"/>
      <c r="N93" s="544"/>
      <c r="O93" s="544"/>
      <c r="P93" s="544"/>
      <c r="Q93" s="544"/>
      <c r="R93" s="544"/>
      <c r="S93" s="544"/>
      <c r="T93" s="544"/>
      <c r="U93" s="544"/>
      <c r="V93" s="544"/>
      <c r="W93" s="544"/>
      <c r="X93" s="544"/>
      <c r="Y93" s="544"/>
      <c r="Z93" s="544"/>
      <c r="AA93" s="544"/>
      <c r="AB93" s="544"/>
      <c r="AC93" s="544"/>
      <c r="AD93" s="544"/>
      <c r="AE93" s="544"/>
      <c r="AF93" s="544"/>
      <c r="AG93" s="544"/>
      <c r="AH93" s="544"/>
    </row>
    <row r="94" spans="1:34" hidden="1" x14ac:dyDescent="0.25">
      <c r="A94" s="544"/>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row>
    <row r="95" spans="1:34" hidden="1" x14ac:dyDescent="0.25">
      <c r="A95" s="544"/>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44"/>
      <c r="AD95" s="544"/>
      <c r="AE95" s="544"/>
      <c r="AF95" s="544"/>
      <c r="AG95" s="544"/>
      <c r="AH95" s="544"/>
    </row>
    <row r="96" spans="1:34" hidden="1" x14ac:dyDescent="0.25">
      <c r="A96" s="544"/>
      <c r="B96" s="544"/>
      <c r="C96" s="544"/>
      <c r="D96" s="544"/>
      <c r="E96" s="544"/>
      <c r="F96" s="544"/>
      <c r="G96" s="544"/>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row>
    <row r="97" spans="1:34" hidden="1" x14ac:dyDescent="0.25">
      <c r="A97" s="544"/>
      <c r="B97" s="544"/>
      <c r="C97" s="544"/>
      <c r="D97" s="544"/>
      <c r="E97" s="544"/>
      <c r="F97" s="544"/>
      <c r="G97" s="544"/>
      <c r="H97" s="544"/>
      <c r="I97" s="544"/>
      <c r="J97" s="544"/>
      <c r="K97" s="544"/>
      <c r="L97" s="544"/>
      <c r="M97" s="544"/>
      <c r="N97" s="544"/>
      <c r="O97" s="544"/>
      <c r="P97" s="544"/>
      <c r="Q97" s="544"/>
      <c r="R97" s="544"/>
      <c r="S97" s="544"/>
      <c r="T97" s="544"/>
      <c r="U97" s="544"/>
      <c r="V97" s="544"/>
      <c r="W97" s="544"/>
      <c r="X97" s="544"/>
      <c r="Y97" s="544"/>
      <c r="Z97" s="544"/>
      <c r="AA97" s="544"/>
      <c r="AB97" s="544"/>
      <c r="AC97" s="544"/>
      <c r="AD97" s="544"/>
      <c r="AE97" s="544"/>
      <c r="AF97" s="544"/>
      <c r="AG97" s="544"/>
      <c r="AH97" s="544"/>
    </row>
    <row r="98" spans="1:34" hidden="1" x14ac:dyDescent="0.25">
      <c r="A98" s="544"/>
      <c r="B98" s="544"/>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row>
    <row r="99" spans="1:34" hidden="1" x14ac:dyDescent="0.25">
      <c r="A99" s="544"/>
      <c r="B99" s="544"/>
      <c r="C99" s="544"/>
      <c r="D99" s="544"/>
      <c r="E99" s="544"/>
      <c r="F99" s="544"/>
      <c r="G99" s="544"/>
      <c r="H99" s="544"/>
      <c r="I99" s="544"/>
      <c r="J99" s="544"/>
      <c r="K99" s="544"/>
      <c r="L99" s="544"/>
      <c r="M99" s="544"/>
      <c r="N99" s="544"/>
      <c r="O99" s="544"/>
      <c r="P99" s="544"/>
      <c r="Q99" s="544"/>
      <c r="R99" s="544"/>
      <c r="S99" s="544"/>
      <c r="T99" s="544"/>
      <c r="U99" s="544"/>
      <c r="V99" s="544"/>
      <c r="W99" s="544"/>
      <c r="X99" s="544"/>
      <c r="Y99" s="544"/>
      <c r="Z99" s="544"/>
      <c r="AA99" s="544"/>
      <c r="AB99" s="544"/>
      <c r="AC99" s="544"/>
      <c r="AD99" s="544"/>
      <c r="AE99" s="544"/>
      <c r="AF99" s="544"/>
      <c r="AG99" s="544"/>
      <c r="AH99" s="544"/>
    </row>
    <row r="100" spans="1:34" hidden="1" x14ac:dyDescent="0.25">
      <c r="A100" s="544"/>
      <c r="B100" s="544"/>
      <c r="C100" s="544"/>
      <c r="D100" s="544"/>
      <c r="E100" s="544"/>
      <c r="F100" s="544"/>
      <c r="G100" s="544"/>
      <c r="H100" s="544"/>
      <c r="I100" s="544"/>
      <c r="J100" s="544"/>
      <c r="K100" s="544"/>
      <c r="L100" s="544"/>
      <c r="M100" s="544"/>
      <c r="N100" s="544"/>
      <c r="O100" s="544"/>
      <c r="P100" s="544"/>
      <c r="Q100" s="544"/>
      <c r="R100" s="544"/>
      <c r="S100" s="544"/>
      <c r="T100" s="544"/>
      <c r="U100" s="544"/>
      <c r="V100" s="544"/>
      <c r="W100" s="544"/>
      <c r="X100" s="544"/>
      <c r="Y100" s="544"/>
      <c r="Z100" s="544"/>
      <c r="AA100" s="544"/>
      <c r="AB100" s="544"/>
      <c r="AC100" s="544"/>
      <c r="AD100" s="544"/>
      <c r="AE100" s="544"/>
      <c r="AF100" s="544"/>
      <c r="AG100" s="544"/>
      <c r="AH100" s="544"/>
    </row>
    <row r="101" spans="1:34" hidden="1" x14ac:dyDescent="0.25">
      <c r="A101" s="544"/>
      <c r="B101" s="544"/>
      <c r="C101" s="544"/>
      <c r="D101" s="544"/>
      <c r="E101" s="544"/>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544"/>
      <c r="AB101" s="544"/>
      <c r="AC101" s="544"/>
      <c r="AD101" s="544"/>
      <c r="AE101" s="544"/>
      <c r="AF101" s="544"/>
      <c r="AG101" s="544"/>
      <c r="AH101" s="544"/>
    </row>
    <row r="102" spans="1:34" hidden="1" x14ac:dyDescent="0.25">
      <c r="A102" s="544"/>
      <c r="B102" s="544"/>
      <c r="C102" s="544"/>
      <c r="D102" s="544"/>
      <c r="E102" s="544"/>
      <c r="F102" s="544"/>
      <c r="G102" s="544"/>
      <c r="H102" s="544"/>
      <c r="I102" s="544"/>
      <c r="J102" s="544"/>
      <c r="K102" s="544"/>
      <c r="L102" s="544"/>
      <c r="M102" s="544"/>
      <c r="N102" s="544"/>
      <c r="O102" s="544"/>
      <c r="P102" s="544"/>
      <c r="Q102" s="544"/>
      <c r="R102" s="544"/>
      <c r="S102" s="544"/>
      <c r="T102" s="544"/>
      <c r="U102" s="544"/>
      <c r="V102" s="544"/>
      <c r="W102" s="544"/>
      <c r="X102" s="544"/>
      <c r="Y102" s="544"/>
      <c r="Z102" s="544"/>
      <c r="AA102" s="544"/>
      <c r="AB102" s="544"/>
      <c r="AC102" s="544"/>
      <c r="AD102" s="544"/>
      <c r="AE102" s="544"/>
      <c r="AF102" s="544"/>
      <c r="AG102" s="544"/>
      <c r="AH102" s="544"/>
    </row>
    <row r="103" spans="1:34" hidden="1" x14ac:dyDescent="0.25">
      <c r="A103" s="544"/>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44"/>
      <c r="AD103" s="544"/>
      <c r="AE103" s="544"/>
      <c r="AF103" s="544"/>
      <c r="AG103" s="544"/>
      <c r="AH103" s="544"/>
    </row>
    <row r="104" spans="1:34" hidden="1" x14ac:dyDescent="0.25">
      <c r="A104" s="544"/>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44"/>
      <c r="AD104" s="544"/>
      <c r="AE104" s="544"/>
      <c r="AF104" s="544"/>
      <c r="AG104" s="544"/>
      <c r="AH104" s="544"/>
    </row>
    <row r="105" spans="1:34" hidden="1" x14ac:dyDescent="0.25">
      <c r="A105" s="544"/>
      <c r="B105" s="544"/>
      <c r="C105" s="544"/>
      <c r="D105" s="544"/>
      <c r="E105" s="544"/>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row>
    <row r="106" spans="1:34" hidden="1" x14ac:dyDescent="0.25">
      <c r="A106" s="544"/>
      <c r="B106" s="544"/>
      <c r="C106" s="544"/>
      <c r="D106" s="544"/>
      <c r="E106" s="544"/>
      <c r="F106" s="544"/>
      <c r="G106" s="544"/>
      <c r="H106" s="544"/>
      <c r="I106" s="544"/>
      <c r="J106" s="544"/>
      <c r="K106" s="544"/>
      <c r="L106" s="544"/>
      <c r="M106" s="544"/>
      <c r="N106" s="544"/>
      <c r="O106" s="544"/>
      <c r="P106" s="544"/>
      <c r="Q106" s="544"/>
      <c r="R106" s="544"/>
      <c r="S106" s="544"/>
      <c r="T106" s="544"/>
      <c r="U106" s="544"/>
      <c r="V106" s="544"/>
      <c r="W106" s="544"/>
      <c r="X106" s="544"/>
      <c r="Y106" s="544"/>
      <c r="Z106" s="544"/>
      <c r="AA106" s="544"/>
      <c r="AB106" s="544"/>
      <c r="AC106" s="544"/>
      <c r="AD106" s="544"/>
      <c r="AE106" s="544"/>
      <c r="AF106" s="544"/>
      <c r="AG106" s="544"/>
      <c r="AH106" s="544"/>
    </row>
    <row r="107" spans="1:34" hidden="1" x14ac:dyDescent="0.25">
      <c r="A107" s="544"/>
      <c r="B107" s="544"/>
      <c r="C107" s="544"/>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4"/>
      <c r="AD107" s="544"/>
      <c r="AE107" s="544"/>
      <c r="AF107" s="544"/>
      <c r="AG107" s="544"/>
      <c r="AH107" s="544"/>
    </row>
    <row r="108" spans="1:34" hidden="1" x14ac:dyDescent="0.25">
      <c r="A108" s="544"/>
      <c r="B108" s="544"/>
      <c r="C108" s="544"/>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4"/>
      <c r="AD108" s="544"/>
      <c r="AE108" s="544"/>
      <c r="AF108" s="544"/>
      <c r="AG108" s="544"/>
      <c r="AH108" s="544"/>
    </row>
    <row r="109" spans="1:34" hidden="1" x14ac:dyDescent="0.25">
      <c r="A109" s="544"/>
      <c r="B109" s="544"/>
      <c r="C109" s="544"/>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544"/>
      <c r="AD109" s="544"/>
      <c r="AE109" s="544"/>
      <c r="AF109" s="544"/>
      <c r="AG109" s="544"/>
      <c r="AH109" s="544"/>
    </row>
    <row r="110" spans="1:34" hidden="1" x14ac:dyDescent="0.25">
      <c r="A110" s="544"/>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4"/>
      <c r="AD110" s="544"/>
      <c r="AE110" s="544"/>
      <c r="AF110" s="544"/>
      <c r="AG110" s="544"/>
      <c r="AH110" s="544"/>
    </row>
    <row r="111" spans="1:34" hidden="1" x14ac:dyDescent="0.25">
      <c r="A111" s="544"/>
      <c r="B111" s="544"/>
      <c r="C111" s="544"/>
      <c r="D111" s="544"/>
      <c r="E111" s="544"/>
      <c r="F111" s="544"/>
      <c r="G111" s="544"/>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row>
    <row r="112" spans="1:34" hidden="1" x14ac:dyDescent="0.25">
      <c r="A112" s="544"/>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row>
    <row r="113" spans="1:34" hidden="1" x14ac:dyDescent="0.25">
      <c r="A113" s="544"/>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44"/>
      <c r="AD113" s="544"/>
      <c r="AE113" s="544"/>
      <c r="AF113" s="544"/>
      <c r="AG113" s="544"/>
      <c r="AH113" s="544"/>
    </row>
    <row r="114" spans="1:34" hidden="1" x14ac:dyDescent="0.25">
      <c r="A114" s="544"/>
      <c r="B114" s="544"/>
      <c r="C114" s="544"/>
      <c r="D114" s="544"/>
      <c r="E114" s="544"/>
      <c r="F114" s="544"/>
      <c r="G114" s="544"/>
      <c r="H114" s="544"/>
      <c r="I114" s="544"/>
      <c r="J114" s="544"/>
      <c r="K114" s="544"/>
      <c r="L114" s="544"/>
      <c r="M114" s="544"/>
      <c r="N114" s="544"/>
      <c r="O114" s="544"/>
      <c r="P114" s="544"/>
      <c r="Q114" s="544"/>
      <c r="R114" s="544"/>
      <c r="S114" s="544"/>
      <c r="T114" s="544"/>
      <c r="U114" s="544"/>
      <c r="V114" s="544"/>
      <c r="W114" s="544"/>
      <c r="X114" s="544"/>
      <c r="Y114" s="544"/>
      <c r="Z114" s="544"/>
      <c r="AA114" s="544"/>
      <c r="AB114" s="544"/>
      <c r="AC114" s="544"/>
      <c r="AD114" s="544"/>
      <c r="AE114" s="544"/>
      <c r="AF114" s="544"/>
      <c r="AG114" s="544"/>
      <c r="AH114" s="544"/>
    </row>
    <row r="115" spans="1:34" hidden="1" x14ac:dyDescent="0.25">
      <c r="A115" s="544"/>
      <c r="B115" s="544"/>
      <c r="C115" s="544"/>
      <c r="D115" s="544"/>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544"/>
      <c r="AB115" s="544"/>
      <c r="AC115" s="544"/>
      <c r="AD115" s="544"/>
      <c r="AE115" s="544"/>
      <c r="AF115" s="544"/>
      <c r="AG115" s="544"/>
      <c r="AH115" s="544"/>
    </row>
    <row r="116" spans="1:34" hidden="1" x14ac:dyDescent="0.25">
      <c r="A116" s="544"/>
      <c r="B116" s="544"/>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row>
    <row r="117" spans="1:34" hidden="1" x14ac:dyDescent="0.25">
      <c r="A117" s="544"/>
      <c r="B117" s="544"/>
      <c r="C117" s="544"/>
      <c r="D117" s="544"/>
      <c r="E117" s="544"/>
      <c r="F117" s="544"/>
      <c r="G117" s="544"/>
      <c r="H117" s="544"/>
      <c r="I117" s="544"/>
      <c r="J117" s="544"/>
      <c r="K117" s="544"/>
      <c r="L117" s="544"/>
      <c r="M117" s="544"/>
      <c r="N117" s="544"/>
      <c r="O117" s="544"/>
      <c r="P117" s="544"/>
      <c r="Q117" s="544"/>
      <c r="R117" s="544"/>
      <c r="S117" s="544"/>
      <c r="T117" s="544"/>
      <c r="U117" s="544"/>
      <c r="V117" s="544"/>
      <c r="W117" s="544"/>
      <c r="X117" s="544"/>
      <c r="Y117" s="544"/>
      <c r="Z117" s="544"/>
      <c r="AA117" s="544"/>
      <c r="AB117" s="544"/>
      <c r="AC117" s="544"/>
      <c r="AD117" s="544"/>
      <c r="AE117" s="544"/>
      <c r="AF117" s="544"/>
      <c r="AG117" s="544"/>
      <c r="AH117" s="544"/>
    </row>
    <row r="118" spans="1:34" hidden="1" x14ac:dyDescent="0.25">
      <c r="A118" s="544"/>
      <c r="B118" s="544"/>
      <c r="C118" s="544"/>
      <c r="D118" s="544"/>
      <c r="E118" s="544"/>
      <c r="F118" s="544"/>
      <c r="G118" s="544"/>
      <c r="H118" s="544"/>
      <c r="I118" s="544"/>
      <c r="J118" s="544"/>
      <c r="K118" s="544"/>
      <c r="L118" s="544"/>
      <c r="M118" s="544"/>
      <c r="N118" s="544"/>
      <c r="O118" s="544"/>
      <c r="P118" s="544"/>
      <c r="Q118" s="544"/>
      <c r="R118" s="544"/>
      <c r="S118" s="544"/>
      <c r="T118" s="544"/>
      <c r="U118" s="544"/>
      <c r="V118" s="544"/>
      <c r="W118" s="544"/>
      <c r="X118" s="544"/>
      <c r="Y118" s="544"/>
      <c r="Z118" s="544"/>
      <c r="AA118" s="544"/>
      <c r="AB118" s="544"/>
      <c r="AC118" s="544"/>
      <c r="AD118" s="544"/>
      <c r="AE118" s="544"/>
      <c r="AF118" s="544"/>
      <c r="AG118" s="544"/>
      <c r="AH118" s="544"/>
    </row>
    <row r="119" spans="1:34" hidden="1" x14ac:dyDescent="0.25">
      <c r="A119" s="544"/>
      <c r="B119" s="544"/>
      <c r="C119" s="544"/>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4"/>
      <c r="AA119" s="544"/>
      <c r="AB119" s="544"/>
      <c r="AC119" s="544"/>
      <c r="AD119" s="544"/>
      <c r="AE119" s="544"/>
      <c r="AF119" s="544"/>
      <c r="AG119" s="544"/>
      <c r="AH119" s="544"/>
    </row>
    <row r="120" spans="1:34" hidden="1" x14ac:dyDescent="0.25">
      <c r="A120" s="544"/>
      <c r="B120" s="544"/>
      <c r="C120" s="544"/>
      <c r="D120" s="544"/>
      <c r="E120" s="544"/>
      <c r="F120" s="544"/>
      <c r="G120" s="544"/>
      <c r="H120" s="544"/>
      <c r="I120" s="544"/>
      <c r="J120" s="544"/>
      <c r="K120" s="544"/>
      <c r="L120" s="544"/>
      <c r="M120" s="544"/>
      <c r="N120" s="544"/>
      <c r="O120" s="544"/>
      <c r="P120" s="544"/>
      <c r="Q120" s="544"/>
      <c r="R120" s="544"/>
      <c r="S120" s="544"/>
      <c r="T120" s="544"/>
      <c r="U120" s="544"/>
      <c r="V120" s="544"/>
      <c r="W120" s="544"/>
      <c r="X120" s="544"/>
      <c r="Y120" s="544"/>
      <c r="Z120" s="544"/>
      <c r="AA120" s="544"/>
      <c r="AB120" s="544"/>
      <c r="AC120" s="544"/>
      <c r="AD120" s="544"/>
      <c r="AE120" s="544"/>
      <c r="AF120" s="544"/>
      <c r="AG120" s="544"/>
      <c r="AH120" s="544"/>
    </row>
    <row r="121" spans="1:34" hidden="1" x14ac:dyDescent="0.25">
      <c r="A121" s="544"/>
      <c r="B121" s="544"/>
      <c r="C121" s="544"/>
      <c r="D121" s="544"/>
      <c r="E121" s="544"/>
      <c r="F121" s="544"/>
      <c r="G121" s="544"/>
      <c r="H121" s="544"/>
      <c r="I121" s="544"/>
      <c r="J121" s="544"/>
      <c r="K121" s="544"/>
      <c r="L121" s="544"/>
      <c r="M121" s="544"/>
      <c r="N121" s="544"/>
      <c r="O121" s="544"/>
      <c r="P121" s="544"/>
      <c r="Q121" s="544"/>
      <c r="R121" s="544"/>
      <c r="S121" s="544"/>
      <c r="T121" s="544"/>
      <c r="U121" s="544"/>
      <c r="V121" s="544"/>
      <c r="W121" s="544"/>
      <c r="X121" s="544"/>
      <c r="Y121" s="544"/>
      <c r="Z121" s="544"/>
      <c r="AA121" s="544"/>
      <c r="AB121" s="544"/>
      <c r="AC121" s="544"/>
      <c r="AD121" s="544"/>
      <c r="AE121" s="544"/>
      <c r="AF121" s="544"/>
      <c r="AG121" s="544"/>
      <c r="AH121" s="544"/>
    </row>
    <row r="122" spans="1:34" hidden="1" x14ac:dyDescent="0.25">
      <c r="A122" s="544"/>
      <c r="B122" s="544"/>
      <c r="C122" s="544"/>
      <c r="D122" s="544"/>
      <c r="E122" s="544"/>
      <c r="F122" s="544"/>
      <c r="G122" s="544"/>
      <c r="H122" s="544"/>
      <c r="I122" s="544"/>
      <c r="J122" s="544"/>
      <c r="K122" s="544"/>
      <c r="L122" s="544"/>
      <c r="M122" s="544"/>
      <c r="N122" s="544"/>
      <c r="O122" s="544"/>
      <c r="P122" s="544"/>
      <c r="Q122" s="544"/>
      <c r="R122" s="544"/>
      <c r="S122" s="544"/>
      <c r="T122" s="544"/>
      <c r="U122" s="544"/>
      <c r="V122" s="544"/>
      <c r="W122" s="544"/>
      <c r="X122" s="544"/>
      <c r="Y122" s="544"/>
      <c r="Z122" s="544"/>
      <c r="AA122" s="544"/>
      <c r="AB122" s="544"/>
      <c r="AC122" s="544"/>
      <c r="AD122" s="544"/>
      <c r="AE122" s="544"/>
      <c r="AF122" s="544"/>
      <c r="AG122" s="544"/>
      <c r="AH122" s="544"/>
    </row>
    <row r="123" spans="1:34" hidden="1" x14ac:dyDescent="0.25">
      <c r="A123" s="544"/>
      <c r="B123" s="544"/>
      <c r="C123" s="544"/>
      <c r="D123" s="544"/>
      <c r="E123" s="544"/>
      <c r="F123" s="544"/>
      <c r="G123" s="544"/>
      <c r="H123" s="544"/>
      <c r="I123" s="544"/>
      <c r="J123" s="544"/>
      <c r="K123" s="544"/>
      <c r="L123" s="544"/>
      <c r="M123" s="544"/>
      <c r="N123" s="544"/>
      <c r="O123" s="544"/>
      <c r="P123" s="544"/>
      <c r="Q123" s="544"/>
      <c r="R123" s="544"/>
      <c r="S123" s="544"/>
      <c r="T123" s="544"/>
      <c r="U123" s="544"/>
      <c r="V123" s="544"/>
      <c r="W123" s="544"/>
      <c r="X123" s="544"/>
      <c r="Y123" s="544"/>
      <c r="Z123" s="544"/>
      <c r="AA123" s="544"/>
      <c r="AB123" s="544"/>
      <c r="AC123" s="544"/>
      <c r="AD123" s="544"/>
      <c r="AE123" s="544"/>
      <c r="AF123" s="544"/>
      <c r="AG123" s="544"/>
      <c r="AH123" s="544"/>
    </row>
    <row r="124" spans="1:34" hidden="1" x14ac:dyDescent="0.25">
      <c r="A124" s="544"/>
      <c r="B124" s="544"/>
      <c r="C124" s="544"/>
      <c r="D124" s="544"/>
      <c r="E124" s="544"/>
      <c r="F124" s="544"/>
      <c r="G124" s="544"/>
      <c r="H124" s="544"/>
      <c r="I124" s="544"/>
      <c r="J124" s="544"/>
      <c r="K124" s="544"/>
      <c r="L124" s="544"/>
      <c r="M124" s="544"/>
      <c r="N124" s="544"/>
      <c r="O124" s="544"/>
      <c r="P124" s="544"/>
      <c r="Q124" s="544"/>
      <c r="R124" s="544"/>
      <c r="S124" s="544"/>
      <c r="T124" s="544"/>
      <c r="U124" s="544"/>
      <c r="V124" s="544"/>
      <c r="W124" s="544"/>
      <c r="X124" s="544"/>
      <c r="Y124" s="544"/>
      <c r="Z124" s="544"/>
      <c r="AA124" s="544"/>
      <c r="AB124" s="544"/>
      <c r="AC124" s="544"/>
      <c r="AD124" s="544"/>
      <c r="AE124" s="544"/>
      <c r="AF124" s="544"/>
      <c r="AG124" s="544"/>
      <c r="AH124" s="544"/>
    </row>
    <row r="125" spans="1:34" hidden="1" x14ac:dyDescent="0.25">
      <c r="A125" s="544"/>
      <c r="B125" s="544"/>
      <c r="C125" s="544"/>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544"/>
      <c r="AB125" s="544"/>
      <c r="AC125" s="544"/>
      <c r="AD125" s="544"/>
      <c r="AE125" s="544"/>
      <c r="AF125" s="544"/>
      <c r="AG125" s="544"/>
      <c r="AH125" s="544"/>
    </row>
    <row r="126" spans="1:34" hidden="1" x14ac:dyDescent="0.25">
      <c r="A126" s="544"/>
      <c r="B126" s="544"/>
      <c r="C126" s="544"/>
      <c r="D126" s="544"/>
      <c r="E126" s="544"/>
      <c r="F126" s="544"/>
      <c r="G126" s="544"/>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row>
    <row r="127" spans="1:34" hidden="1" x14ac:dyDescent="0.25">
      <c r="A127" s="544"/>
      <c r="B127" s="544"/>
      <c r="C127" s="544"/>
      <c r="D127" s="544"/>
      <c r="E127" s="544"/>
      <c r="F127" s="544"/>
      <c r="G127" s="544"/>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row>
    <row r="128" spans="1:34" hidden="1" x14ac:dyDescent="0.25">
      <c r="A128" s="544"/>
      <c r="B128" s="544"/>
      <c r="C128" s="544"/>
      <c r="D128" s="544"/>
      <c r="E128" s="544"/>
      <c r="F128" s="544"/>
      <c r="G128" s="544"/>
      <c r="H128" s="544"/>
      <c r="I128" s="544"/>
      <c r="J128" s="544"/>
      <c r="K128" s="544"/>
      <c r="L128" s="544"/>
      <c r="M128" s="544"/>
      <c r="N128" s="544"/>
      <c r="O128" s="544"/>
      <c r="P128" s="544"/>
      <c r="Q128" s="544"/>
      <c r="R128" s="544"/>
      <c r="S128" s="544"/>
      <c r="T128" s="544"/>
      <c r="U128" s="544"/>
      <c r="V128" s="544"/>
      <c r="W128" s="544"/>
      <c r="X128" s="544"/>
      <c r="Y128" s="544"/>
      <c r="Z128" s="544"/>
      <c r="AA128" s="544"/>
      <c r="AB128" s="544"/>
      <c r="AC128" s="544"/>
      <c r="AD128" s="544"/>
      <c r="AE128" s="544"/>
      <c r="AF128" s="544"/>
      <c r="AG128" s="544"/>
      <c r="AH128" s="544"/>
    </row>
    <row r="129" spans="1:34" hidden="1" x14ac:dyDescent="0.25">
      <c r="A129" s="544"/>
      <c r="B129" s="544"/>
      <c r="C129" s="544"/>
      <c r="D129" s="544"/>
      <c r="E129" s="544"/>
      <c r="F129" s="544"/>
      <c r="G129" s="544"/>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row>
    <row r="130" spans="1:34" hidden="1" x14ac:dyDescent="0.25">
      <c r="A130" s="544"/>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row>
    <row r="131" spans="1:34" hidden="1" x14ac:dyDescent="0.25">
      <c r="A131" s="544"/>
      <c r="B131" s="544"/>
      <c r="C131" s="544"/>
      <c r="D131" s="544"/>
      <c r="E131" s="544"/>
      <c r="F131" s="544"/>
      <c r="G131" s="544"/>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row>
    <row r="132" spans="1:34" hidden="1" x14ac:dyDescent="0.25">
      <c r="A132" s="544"/>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row>
    <row r="133" spans="1:34" hidden="1" x14ac:dyDescent="0.25">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544"/>
      <c r="AB133" s="544"/>
      <c r="AC133" s="544"/>
      <c r="AD133" s="544"/>
      <c r="AE133" s="544"/>
      <c r="AF133" s="544"/>
      <c r="AG133" s="544"/>
      <c r="AH133" s="544"/>
    </row>
    <row r="134" spans="1:34" hidden="1" x14ac:dyDescent="0.25">
      <c r="A134" s="544"/>
      <c r="B134" s="544"/>
      <c r="C134" s="544"/>
      <c r="D134" s="544"/>
      <c r="E134" s="544"/>
      <c r="F134" s="544"/>
      <c r="G134" s="544"/>
      <c r="H134" s="544"/>
      <c r="I134" s="544"/>
      <c r="J134" s="544"/>
      <c r="K134" s="544"/>
      <c r="L134" s="544"/>
      <c r="M134" s="544"/>
      <c r="N134" s="544"/>
      <c r="O134" s="544"/>
      <c r="P134" s="544"/>
      <c r="Q134" s="544"/>
      <c r="R134" s="544"/>
      <c r="S134" s="544"/>
      <c r="T134" s="544"/>
      <c r="U134" s="544"/>
      <c r="V134" s="544"/>
      <c r="W134" s="544"/>
      <c r="X134" s="544"/>
      <c r="Y134" s="544"/>
      <c r="Z134" s="544"/>
      <c r="AA134" s="544"/>
      <c r="AB134" s="544"/>
      <c r="AC134" s="544"/>
      <c r="AD134" s="544"/>
      <c r="AE134" s="544"/>
      <c r="AF134" s="544"/>
      <c r="AG134" s="544"/>
      <c r="AH134" s="544"/>
    </row>
    <row r="135" spans="1:34" hidden="1" x14ac:dyDescent="0.25">
      <c r="A135" s="544"/>
      <c r="B135" s="544"/>
      <c r="C135" s="544"/>
      <c r="D135" s="544"/>
      <c r="E135" s="544"/>
      <c r="F135" s="544"/>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row>
    <row r="136" spans="1:34" hidden="1" x14ac:dyDescent="0.25">
      <c r="A136" s="544"/>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row>
    <row r="137" spans="1:34" hidden="1" x14ac:dyDescent="0.25">
      <c r="A137" s="544"/>
      <c r="B137" s="544"/>
      <c r="C137" s="544"/>
      <c r="D137" s="544"/>
      <c r="E137" s="544"/>
      <c r="F137" s="544"/>
      <c r="G137" s="544"/>
      <c r="H137" s="544"/>
      <c r="I137" s="544"/>
      <c r="J137" s="544"/>
      <c r="K137" s="544"/>
      <c r="L137" s="544"/>
      <c r="M137" s="544"/>
      <c r="N137" s="544"/>
      <c r="O137" s="544"/>
      <c r="P137" s="544"/>
      <c r="Q137" s="544"/>
      <c r="R137" s="544"/>
      <c r="S137" s="544"/>
      <c r="T137" s="544"/>
      <c r="U137" s="544"/>
      <c r="V137" s="544"/>
      <c r="W137" s="544"/>
      <c r="X137" s="544"/>
      <c r="Y137" s="544"/>
      <c r="Z137" s="544"/>
      <c r="AA137" s="544"/>
      <c r="AB137" s="544"/>
      <c r="AC137" s="544"/>
      <c r="AD137" s="544"/>
      <c r="AE137" s="544"/>
      <c r="AF137" s="544"/>
      <c r="AG137" s="544"/>
      <c r="AH137" s="544"/>
    </row>
    <row r="138" spans="1:34" hidden="1" x14ac:dyDescent="0.25">
      <c r="A138" s="544"/>
      <c r="B138" s="544"/>
      <c r="C138" s="544"/>
      <c r="D138" s="544"/>
      <c r="E138" s="544"/>
      <c r="F138" s="544"/>
      <c r="G138" s="544"/>
      <c r="H138" s="544"/>
      <c r="I138" s="544"/>
      <c r="J138" s="544"/>
      <c r="K138" s="544"/>
      <c r="L138" s="544"/>
      <c r="M138" s="544"/>
      <c r="N138" s="544"/>
      <c r="O138" s="544"/>
      <c r="P138" s="544"/>
      <c r="Q138" s="544"/>
      <c r="R138" s="544"/>
      <c r="S138" s="544"/>
      <c r="T138" s="544"/>
      <c r="U138" s="544"/>
      <c r="V138" s="544"/>
      <c r="W138" s="544"/>
      <c r="X138" s="544"/>
      <c r="Y138" s="544"/>
      <c r="Z138" s="544"/>
      <c r="AA138" s="544"/>
      <c r="AB138" s="544"/>
      <c r="AC138" s="544"/>
      <c r="AD138" s="544"/>
      <c r="AE138" s="544"/>
      <c r="AF138" s="544"/>
      <c r="AG138" s="544"/>
      <c r="AH138" s="544"/>
    </row>
    <row r="139" spans="1:34" hidden="1" x14ac:dyDescent="0.25">
      <c r="A139" s="544"/>
      <c r="B139" s="544"/>
      <c r="C139" s="544"/>
      <c r="D139" s="544"/>
      <c r="E139" s="544"/>
      <c r="F139" s="544"/>
      <c r="G139" s="544"/>
      <c r="H139" s="544"/>
      <c r="I139" s="544"/>
      <c r="J139" s="544"/>
      <c r="K139" s="544"/>
      <c r="L139" s="544"/>
      <c r="M139" s="544"/>
      <c r="N139" s="544"/>
      <c r="O139" s="544"/>
      <c r="P139" s="544"/>
      <c r="Q139" s="544"/>
      <c r="R139" s="544"/>
      <c r="S139" s="544"/>
      <c r="T139" s="544"/>
      <c r="U139" s="544"/>
      <c r="V139" s="544"/>
      <c r="W139" s="544"/>
      <c r="X139" s="544"/>
      <c r="Y139" s="544"/>
      <c r="Z139" s="544"/>
      <c r="AA139" s="544"/>
      <c r="AB139" s="544"/>
      <c r="AC139" s="544"/>
      <c r="AD139" s="544"/>
      <c r="AE139" s="544"/>
      <c r="AF139" s="544"/>
      <c r="AG139" s="544"/>
      <c r="AH139" s="544"/>
    </row>
    <row r="140" spans="1:34" hidden="1" x14ac:dyDescent="0.25">
      <c r="A140" s="544"/>
      <c r="B140" s="544"/>
      <c r="C140" s="544"/>
      <c r="D140" s="544"/>
      <c r="E140" s="544"/>
      <c r="F140" s="544"/>
      <c r="G140" s="544"/>
      <c r="H140" s="544"/>
      <c r="I140" s="544"/>
      <c r="J140" s="544"/>
      <c r="K140" s="544"/>
      <c r="L140" s="544"/>
      <c r="M140" s="544"/>
      <c r="N140" s="544"/>
      <c r="O140" s="544"/>
      <c r="P140" s="544"/>
      <c r="Q140" s="544"/>
      <c r="R140" s="544"/>
      <c r="S140" s="544"/>
      <c r="T140" s="544"/>
      <c r="U140" s="544"/>
      <c r="V140" s="544"/>
      <c r="W140" s="544"/>
      <c r="X140" s="544"/>
      <c r="Y140" s="544"/>
      <c r="Z140" s="544"/>
      <c r="AA140" s="544"/>
      <c r="AB140" s="544"/>
      <c r="AC140" s="544"/>
      <c r="AD140" s="544"/>
      <c r="AE140" s="544"/>
      <c r="AF140" s="544"/>
      <c r="AG140" s="544"/>
      <c r="AH140" s="544"/>
    </row>
    <row r="141" spans="1:34" hidden="1" x14ac:dyDescent="0.25">
      <c r="A141" s="544"/>
      <c r="B141" s="544"/>
      <c r="C141" s="544"/>
      <c r="D141" s="544"/>
      <c r="E141" s="544"/>
      <c r="F141" s="544"/>
      <c r="G141" s="544"/>
      <c r="H141" s="544"/>
      <c r="I141" s="544"/>
      <c r="J141" s="544"/>
      <c r="K141" s="544"/>
      <c r="L141" s="544"/>
      <c r="M141" s="544"/>
      <c r="N141" s="544"/>
      <c r="O141" s="544"/>
      <c r="P141" s="544"/>
      <c r="Q141" s="544"/>
      <c r="R141" s="544"/>
      <c r="S141" s="544"/>
      <c r="T141" s="544"/>
      <c r="U141" s="544"/>
      <c r="V141" s="544"/>
      <c r="W141" s="544"/>
      <c r="X141" s="544"/>
      <c r="Y141" s="544"/>
      <c r="Z141" s="544"/>
      <c r="AA141" s="544"/>
      <c r="AB141" s="544"/>
      <c r="AC141" s="544"/>
      <c r="AD141" s="544"/>
      <c r="AE141" s="544"/>
      <c r="AF141" s="544"/>
      <c r="AG141" s="544"/>
      <c r="AH141" s="544"/>
    </row>
    <row r="142" spans="1:34" hidden="1" x14ac:dyDescent="0.25">
      <c r="A142" s="544"/>
      <c r="B142" s="544"/>
      <c r="C142" s="544"/>
      <c r="D142" s="544"/>
      <c r="E142" s="544"/>
      <c r="F142" s="544"/>
      <c r="G142" s="544"/>
      <c r="H142" s="544"/>
      <c r="I142" s="544"/>
      <c r="J142" s="544"/>
      <c r="K142" s="544"/>
      <c r="L142" s="544"/>
      <c r="M142" s="544"/>
      <c r="N142" s="544"/>
      <c r="O142" s="544"/>
      <c r="P142" s="544"/>
      <c r="Q142" s="544"/>
      <c r="R142" s="544"/>
      <c r="S142" s="544"/>
      <c r="T142" s="544"/>
      <c r="U142" s="544"/>
      <c r="V142" s="544"/>
      <c r="W142" s="544"/>
      <c r="X142" s="544"/>
      <c r="Y142" s="544"/>
      <c r="Z142" s="544"/>
      <c r="AA142" s="544"/>
      <c r="AB142" s="544"/>
      <c r="AC142" s="544"/>
      <c r="AD142" s="544"/>
      <c r="AE142" s="544"/>
      <c r="AF142" s="544"/>
      <c r="AG142" s="544"/>
      <c r="AH142" s="544"/>
    </row>
    <row r="143" spans="1:34" hidden="1" x14ac:dyDescent="0.25">
      <c r="A143" s="544"/>
      <c r="B143" s="544"/>
      <c r="C143" s="544"/>
      <c r="D143" s="544"/>
      <c r="E143" s="544"/>
      <c r="F143" s="544"/>
      <c r="G143" s="544"/>
      <c r="H143" s="544"/>
      <c r="I143" s="544"/>
      <c r="J143" s="544"/>
      <c r="K143" s="544"/>
      <c r="L143" s="544"/>
      <c r="M143" s="544"/>
      <c r="N143" s="544"/>
      <c r="O143" s="544"/>
      <c r="P143" s="544"/>
      <c r="Q143" s="544"/>
      <c r="R143" s="544"/>
      <c r="S143" s="544"/>
      <c r="T143" s="544"/>
      <c r="U143" s="544"/>
      <c r="V143" s="544"/>
      <c r="W143" s="544"/>
      <c r="X143" s="544"/>
      <c r="Y143" s="544"/>
      <c r="Z143" s="544"/>
      <c r="AA143" s="544"/>
      <c r="AB143" s="544"/>
      <c r="AC143" s="544"/>
      <c r="AD143" s="544"/>
      <c r="AE143" s="544"/>
      <c r="AF143" s="544"/>
      <c r="AG143" s="544"/>
      <c r="AH143" s="544"/>
    </row>
    <row r="144" spans="1:34" hidden="1" x14ac:dyDescent="0.25">
      <c r="A144" s="544"/>
      <c r="B144" s="544"/>
      <c r="C144" s="544"/>
      <c r="D144" s="544"/>
      <c r="E144" s="544"/>
      <c r="F144" s="544"/>
      <c r="G144" s="544"/>
      <c r="H144" s="544"/>
      <c r="I144" s="544"/>
      <c r="J144" s="544"/>
      <c r="K144" s="544"/>
      <c r="L144" s="544"/>
      <c r="M144" s="544"/>
      <c r="N144" s="544"/>
      <c r="O144" s="544"/>
      <c r="P144" s="544"/>
      <c r="Q144" s="544"/>
      <c r="R144" s="544"/>
      <c r="S144" s="544"/>
      <c r="T144" s="544"/>
      <c r="U144" s="544"/>
      <c r="V144" s="544"/>
      <c r="W144" s="544"/>
      <c r="X144" s="544"/>
      <c r="Y144" s="544"/>
      <c r="Z144" s="544"/>
      <c r="AA144" s="544"/>
      <c r="AB144" s="544"/>
      <c r="AC144" s="544"/>
      <c r="AD144" s="544"/>
      <c r="AE144" s="544"/>
      <c r="AF144" s="544"/>
      <c r="AG144" s="544"/>
      <c r="AH144" s="544"/>
    </row>
    <row r="145" spans="1:34" hidden="1" x14ac:dyDescent="0.25">
      <c r="A145" s="544"/>
      <c r="B145" s="544"/>
      <c r="C145" s="544"/>
      <c r="D145" s="544"/>
      <c r="E145" s="544"/>
      <c r="F145" s="544"/>
      <c r="G145" s="544"/>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row>
    <row r="146" spans="1:34" hidden="1" x14ac:dyDescent="0.25">
      <c r="A146" s="544"/>
      <c r="B146" s="544"/>
      <c r="C146" s="544"/>
      <c r="D146" s="544"/>
      <c r="E146" s="544"/>
      <c r="F146" s="544"/>
      <c r="G146" s="544"/>
      <c r="H146" s="544"/>
      <c r="I146" s="544"/>
      <c r="J146" s="544"/>
      <c r="K146" s="544"/>
      <c r="L146" s="544"/>
      <c r="M146" s="544"/>
      <c r="N146" s="544"/>
      <c r="O146" s="544"/>
      <c r="P146" s="544"/>
      <c r="Q146" s="544"/>
      <c r="R146" s="544"/>
      <c r="S146" s="544"/>
      <c r="T146" s="544"/>
      <c r="U146" s="544"/>
      <c r="V146" s="544"/>
      <c r="W146" s="544"/>
      <c r="X146" s="544"/>
      <c r="Y146" s="544"/>
      <c r="Z146" s="544"/>
      <c r="AA146" s="544"/>
      <c r="AB146" s="544"/>
      <c r="AC146" s="544"/>
      <c r="AD146" s="544"/>
      <c r="AE146" s="544"/>
      <c r="AF146" s="544"/>
      <c r="AG146" s="544"/>
      <c r="AH146" s="544"/>
    </row>
    <row r="147" spans="1:34" hidden="1" x14ac:dyDescent="0.25">
      <c r="A147" s="544"/>
      <c r="B147" s="544"/>
      <c r="C147" s="544"/>
      <c r="D147" s="544"/>
      <c r="E147" s="544"/>
      <c r="F147" s="544"/>
      <c r="G147" s="544"/>
      <c r="H147" s="544"/>
      <c r="I147" s="544"/>
      <c r="J147" s="544"/>
      <c r="K147" s="544"/>
      <c r="L147" s="544"/>
      <c r="M147" s="544"/>
      <c r="N147" s="544"/>
      <c r="O147" s="544"/>
      <c r="P147" s="544"/>
      <c r="Q147" s="544"/>
      <c r="R147" s="544"/>
      <c r="S147" s="544"/>
      <c r="T147" s="544"/>
      <c r="U147" s="544"/>
      <c r="V147" s="544"/>
      <c r="W147" s="544"/>
      <c r="X147" s="544"/>
      <c r="Y147" s="544"/>
      <c r="Z147" s="544"/>
      <c r="AA147" s="544"/>
      <c r="AB147" s="544"/>
      <c r="AC147" s="544"/>
      <c r="AD147" s="544"/>
      <c r="AE147" s="544"/>
      <c r="AF147" s="544"/>
      <c r="AG147" s="544"/>
      <c r="AH147" s="544"/>
    </row>
    <row r="148" spans="1:34" hidden="1" x14ac:dyDescent="0.25">
      <c r="A148" s="544"/>
      <c r="B148" s="544"/>
      <c r="C148" s="544"/>
      <c r="D148" s="544"/>
      <c r="E148" s="544"/>
      <c r="F148" s="544"/>
      <c r="G148" s="544"/>
      <c r="H148" s="544"/>
      <c r="I148" s="544"/>
      <c r="J148" s="544"/>
      <c r="K148" s="544"/>
      <c r="L148" s="544"/>
      <c r="M148" s="544"/>
      <c r="N148" s="544"/>
      <c r="O148" s="544"/>
      <c r="P148" s="544"/>
      <c r="Q148" s="544"/>
      <c r="R148" s="544"/>
      <c r="S148" s="544"/>
      <c r="T148" s="544"/>
      <c r="U148" s="544"/>
      <c r="V148" s="544"/>
      <c r="W148" s="544"/>
      <c r="X148" s="544"/>
      <c r="Y148" s="544"/>
      <c r="Z148" s="544"/>
      <c r="AA148" s="544"/>
      <c r="AB148" s="544"/>
      <c r="AC148" s="544"/>
      <c r="AD148" s="544"/>
      <c r="AE148" s="544"/>
      <c r="AF148" s="544"/>
      <c r="AG148" s="544"/>
      <c r="AH148" s="544"/>
    </row>
    <row r="149" spans="1:34" hidden="1" x14ac:dyDescent="0.25">
      <c r="A149" s="544"/>
      <c r="B149" s="544"/>
      <c r="C149" s="544"/>
      <c r="D149" s="544"/>
      <c r="E149" s="544"/>
      <c r="F149" s="544"/>
      <c r="G149" s="544"/>
      <c r="H149" s="544"/>
      <c r="I149" s="544"/>
      <c r="J149" s="544"/>
      <c r="K149" s="544"/>
      <c r="L149" s="544"/>
      <c r="M149" s="544"/>
      <c r="N149" s="544"/>
      <c r="O149" s="544"/>
      <c r="P149" s="544"/>
      <c r="Q149" s="544"/>
      <c r="R149" s="544"/>
      <c r="S149" s="544"/>
      <c r="T149" s="544"/>
      <c r="U149" s="544"/>
      <c r="V149" s="544"/>
      <c r="W149" s="544"/>
      <c r="X149" s="544"/>
      <c r="Y149" s="544"/>
      <c r="Z149" s="544"/>
      <c r="AA149" s="544"/>
      <c r="AB149" s="544"/>
      <c r="AC149" s="544"/>
      <c r="AD149" s="544"/>
      <c r="AE149" s="544"/>
      <c r="AF149" s="544"/>
      <c r="AG149" s="544"/>
      <c r="AH149" s="544"/>
    </row>
    <row r="150" spans="1:34" hidden="1" x14ac:dyDescent="0.25">
      <c r="A150" s="544"/>
      <c r="B150" s="544"/>
      <c r="C150" s="544"/>
      <c r="D150" s="544"/>
      <c r="E150" s="544"/>
      <c r="F150" s="544"/>
      <c r="G150" s="544"/>
      <c r="H150" s="544"/>
      <c r="I150" s="544"/>
      <c r="J150" s="544"/>
      <c r="K150" s="544"/>
      <c r="L150" s="544"/>
      <c r="M150" s="544"/>
      <c r="N150" s="544"/>
      <c r="O150" s="544"/>
      <c r="P150" s="544"/>
      <c r="Q150" s="544"/>
      <c r="R150" s="544"/>
      <c r="S150" s="544"/>
      <c r="T150" s="544"/>
      <c r="U150" s="544"/>
      <c r="V150" s="544"/>
      <c r="W150" s="544"/>
      <c r="X150" s="544"/>
      <c r="Y150" s="544"/>
      <c r="Z150" s="544"/>
      <c r="AA150" s="544"/>
      <c r="AB150" s="544"/>
      <c r="AC150" s="544"/>
      <c r="AD150" s="544"/>
      <c r="AE150" s="544"/>
      <c r="AF150" s="544"/>
      <c r="AG150" s="544"/>
      <c r="AH150" s="544"/>
    </row>
    <row r="151" spans="1:34" hidden="1" x14ac:dyDescent="0.25">
      <c r="A151" s="544"/>
      <c r="B151" s="544"/>
      <c r="C151" s="544"/>
      <c r="D151" s="544"/>
      <c r="E151" s="544"/>
      <c r="F151" s="544"/>
      <c r="G151" s="544"/>
      <c r="H151" s="544"/>
      <c r="I151" s="544"/>
      <c r="J151" s="544"/>
      <c r="K151" s="544"/>
      <c r="L151" s="544"/>
      <c r="M151" s="544"/>
      <c r="N151" s="544"/>
      <c r="O151" s="544"/>
      <c r="P151" s="544"/>
      <c r="Q151" s="544"/>
      <c r="R151" s="544"/>
      <c r="S151" s="544"/>
      <c r="T151" s="544"/>
      <c r="U151" s="544"/>
      <c r="V151" s="544"/>
      <c r="W151" s="544"/>
      <c r="X151" s="544"/>
      <c r="Y151" s="544"/>
      <c r="Z151" s="544"/>
      <c r="AA151" s="544"/>
      <c r="AB151" s="544"/>
      <c r="AC151" s="544"/>
      <c r="AD151" s="544"/>
      <c r="AE151" s="544"/>
      <c r="AF151" s="544"/>
      <c r="AG151" s="544"/>
      <c r="AH151" s="544"/>
    </row>
    <row r="152" spans="1:34" hidden="1" x14ac:dyDescent="0.25">
      <c r="A152" s="544"/>
      <c r="B152" s="544"/>
      <c r="C152" s="544"/>
      <c r="D152" s="544"/>
      <c r="E152" s="544"/>
      <c r="F152" s="544"/>
      <c r="G152" s="544"/>
      <c r="H152" s="544"/>
      <c r="I152" s="544"/>
      <c r="J152" s="544"/>
      <c r="K152" s="544"/>
      <c r="L152" s="544"/>
      <c r="M152" s="544"/>
      <c r="N152" s="544"/>
      <c r="O152" s="544"/>
      <c r="P152" s="544"/>
      <c r="Q152" s="544"/>
      <c r="R152" s="544"/>
      <c r="S152" s="544"/>
      <c r="T152" s="544"/>
      <c r="U152" s="544"/>
      <c r="V152" s="544"/>
      <c r="W152" s="544"/>
      <c r="X152" s="544"/>
      <c r="Y152" s="544"/>
      <c r="Z152" s="544"/>
      <c r="AA152" s="544"/>
      <c r="AB152" s="544"/>
      <c r="AC152" s="544"/>
      <c r="AD152" s="544"/>
      <c r="AE152" s="544"/>
      <c r="AF152" s="544"/>
      <c r="AG152" s="544"/>
      <c r="AH152" s="544"/>
    </row>
    <row r="153" spans="1:34" hidden="1" x14ac:dyDescent="0.25">
      <c r="A153" s="544"/>
      <c r="B153" s="544"/>
      <c r="C153" s="544"/>
      <c r="D153" s="544"/>
      <c r="E153" s="544"/>
      <c r="F153" s="544"/>
      <c r="G153" s="544"/>
      <c r="H153" s="544"/>
      <c r="I153" s="544"/>
      <c r="J153" s="544"/>
      <c r="K153" s="544"/>
      <c r="L153" s="544"/>
      <c r="M153" s="544"/>
      <c r="N153" s="544"/>
      <c r="O153" s="544"/>
      <c r="P153" s="544"/>
      <c r="Q153" s="544"/>
      <c r="R153" s="544"/>
      <c r="S153" s="544"/>
      <c r="T153" s="544"/>
      <c r="U153" s="544"/>
      <c r="V153" s="544"/>
      <c r="W153" s="544"/>
      <c r="X153" s="544"/>
      <c r="Y153" s="544"/>
      <c r="Z153" s="544"/>
      <c r="AA153" s="544"/>
      <c r="AB153" s="544"/>
      <c r="AC153" s="544"/>
      <c r="AD153" s="544"/>
      <c r="AE153" s="544"/>
      <c r="AF153" s="544"/>
      <c r="AG153" s="544"/>
      <c r="AH153" s="544"/>
    </row>
    <row r="154" spans="1:34" hidden="1" x14ac:dyDescent="0.25">
      <c r="A154" s="544"/>
      <c r="B154" s="544"/>
      <c r="C154" s="544"/>
      <c r="D154" s="544"/>
      <c r="E154" s="544"/>
      <c r="F154" s="544"/>
      <c r="G154" s="544"/>
      <c r="H154" s="544"/>
      <c r="I154" s="544"/>
      <c r="J154" s="544"/>
      <c r="K154" s="544"/>
      <c r="L154" s="544"/>
      <c r="M154" s="544"/>
      <c r="N154" s="544"/>
      <c r="O154" s="544"/>
      <c r="P154" s="544"/>
      <c r="Q154" s="544"/>
      <c r="R154" s="544"/>
      <c r="S154" s="544"/>
      <c r="T154" s="544"/>
      <c r="U154" s="544"/>
      <c r="V154" s="544"/>
      <c r="W154" s="544"/>
      <c r="X154" s="544"/>
      <c r="Y154" s="544"/>
      <c r="Z154" s="544"/>
      <c r="AA154" s="544"/>
      <c r="AB154" s="544"/>
      <c r="AC154" s="544"/>
      <c r="AD154" s="544"/>
      <c r="AE154" s="544"/>
      <c r="AF154" s="544"/>
      <c r="AG154" s="544"/>
      <c r="AH154" s="544"/>
    </row>
    <row r="155" spans="1:34" hidden="1" x14ac:dyDescent="0.25">
      <c r="A155" s="544"/>
      <c r="B155" s="544"/>
      <c r="C155" s="544"/>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4"/>
      <c r="Z155" s="544"/>
      <c r="AA155" s="544"/>
      <c r="AB155" s="544"/>
      <c r="AC155" s="544"/>
      <c r="AD155" s="544"/>
      <c r="AE155" s="544"/>
      <c r="AF155" s="544"/>
      <c r="AG155" s="544"/>
      <c r="AH155" s="544"/>
    </row>
    <row r="156" spans="1:34" hidden="1" x14ac:dyDescent="0.25">
      <c r="A156" s="544"/>
      <c r="B156" s="544"/>
      <c r="C156" s="544"/>
      <c r="D156" s="544"/>
      <c r="E156" s="544"/>
      <c r="F156" s="544"/>
      <c r="G156" s="544"/>
      <c r="H156" s="544"/>
      <c r="I156" s="544"/>
      <c r="J156" s="544"/>
      <c r="K156" s="544"/>
      <c r="L156" s="544"/>
      <c r="M156" s="544"/>
      <c r="N156" s="544"/>
      <c r="O156" s="544"/>
      <c r="P156" s="544"/>
      <c r="Q156" s="544"/>
      <c r="R156" s="544"/>
      <c r="S156" s="544"/>
      <c r="T156" s="544"/>
      <c r="U156" s="544"/>
      <c r="V156" s="544"/>
      <c r="W156" s="544"/>
      <c r="X156" s="544"/>
      <c r="Y156" s="544"/>
      <c r="Z156" s="544"/>
      <c r="AA156" s="544"/>
      <c r="AB156" s="544"/>
      <c r="AC156" s="544"/>
      <c r="AD156" s="544"/>
      <c r="AE156" s="544"/>
      <c r="AF156" s="544"/>
      <c r="AG156" s="544"/>
      <c r="AH156" s="544"/>
    </row>
    <row r="157" spans="1:34" hidden="1" x14ac:dyDescent="0.25">
      <c r="A157" s="544"/>
      <c r="B157" s="544"/>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row>
    <row r="158" spans="1:34" hidden="1" x14ac:dyDescent="0.25">
      <c r="A158" s="544"/>
      <c r="B158" s="544"/>
      <c r="C158" s="544"/>
      <c r="D158" s="544"/>
      <c r="E158" s="544"/>
      <c r="F158" s="544"/>
      <c r="G158" s="544"/>
      <c r="H158" s="544"/>
      <c r="I158" s="544"/>
      <c r="J158" s="544"/>
      <c r="K158" s="544"/>
      <c r="L158" s="544"/>
      <c r="M158" s="544"/>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row>
  </sheetData>
  <sheetProtection algorithmName="SHA-512" hashValue="3tukFxCG1LY07uWIwhWdfk70NtBlkauiWU7yyF0kzZGshmLCOAtIgMDFiEXMug39DxX56GuzTuJ/Vc/jyBZC8g==" saltValue="z0bbt7f7H3L+Ih/Bi7Ib3A==" spinCount="100000" sheet="1"/>
  <mergeCells count="24">
    <mergeCell ref="B40:B41"/>
    <mergeCell ref="B42:B43"/>
    <mergeCell ref="B44:B45"/>
    <mergeCell ref="B46:B47"/>
    <mergeCell ref="B30:B31"/>
    <mergeCell ref="B32:B33"/>
    <mergeCell ref="B34:B35"/>
    <mergeCell ref="B36:B37"/>
    <mergeCell ref="B38:B39"/>
    <mergeCell ref="B20:B21"/>
    <mergeCell ref="B22:B23"/>
    <mergeCell ref="B24:B25"/>
    <mergeCell ref="B26:B27"/>
    <mergeCell ref="B28:B29"/>
    <mergeCell ref="B10:B11"/>
    <mergeCell ref="B12:B13"/>
    <mergeCell ref="B14:B15"/>
    <mergeCell ref="B16:B17"/>
    <mergeCell ref="B18:B19"/>
    <mergeCell ref="B2:C2"/>
    <mergeCell ref="E2:E3"/>
    <mergeCell ref="B3:C3"/>
    <mergeCell ref="D5:E5"/>
    <mergeCell ref="B8:B9"/>
  </mergeCells>
  <conditionalFormatting sqref="E2:E3">
    <cfRule type="containsText" dxfId="17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5" zeroHeight="1" x14ac:dyDescent="0.25"/>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x14ac:dyDescent="0.25">
      <c r="A1" s="520"/>
      <c r="B1" s="520"/>
      <c r="C1" s="520"/>
      <c r="D1" s="520"/>
      <c r="E1" s="520"/>
      <c r="F1" s="520"/>
      <c r="G1" s="520"/>
      <c r="H1" s="520"/>
      <c r="I1" s="538"/>
      <c r="J1" s="538"/>
      <c r="K1" s="538"/>
      <c r="L1" s="538"/>
      <c r="M1" s="538"/>
      <c r="N1" s="538"/>
      <c r="O1" s="640" t="s">
        <v>66</v>
      </c>
      <c r="P1" s="757">
        <f>IFERROR(SUM(AE11:AE31), "Error ▲")</f>
        <v>0</v>
      </c>
      <c r="Q1" s="520"/>
      <c r="R1" s="410" t="s">
        <v>67</v>
      </c>
      <c r="S1" s="520"/>
      <c r="T1" s="521"/>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c r="CA1" s="520"/>
      <c r="CB1" s="520"/>
      <c r="CC1" s="520"/>
      <c r="CD1" s="520"/>
      <c r="CE1" s="520"/>
      <c r="CF1" s="520"/>
      <c r="CG1" s="520"/>
      <c r="CH1" s="520"/>
      <c r="CI1" s="520"/>
      <c r="CJ1" s="520"/>
      <c r="CK1" s="520"/>
      <c r="CL1" s="520"/>
      <c r="CM1" s="520"/>
      <c r="CN1" s="520"/>
      <c r="CO1" s="520"/>
      <c r="CP1" s="520"/>
      <c r="CQ1" s="520"/>
      <c r="CR1" s="520"/>
      <c r="CS1" s="520"/>
      <c r="CT1" s="520"/>
      <c r="CU1" s="520"/>
      <c r="CV1" s="520"/>
      <c r="CW1" s="520"/>
      <c r="CX1" s="520"/>
      <c r="CY1" s="520"/>
      <c r="CZ1" s="520"/>
      <c r="DA1" s="520"/>
      <c r="DB1" s="520"/>
      <c r="DC1" s="520"/>
      <c r="DD1" s="520"/>
      <c r="DE1" s="520"/>
      <c r="DF1" s="520"/>
      <c r="DG1" s="520"/>
      <c r="DH1" s="520"/>
      <c r="DI1" s="520"/>
      <c r="DJ1" s="520"/>
      <c r="DK1" s="520"/>
      <c r="DL1" s="520"/>
      <c r="DM1" s="520"/>
      <c r="DN1" s="520"/>
      <c r="DO1" s="520"/>
      <c r="DP1" s="520"/>
      <c r="DQ1" s="520"/>
      <c r="DR1" s="520"/>
      <c r="DS1" s="520"/>
      <c r="DT1" s="520"/>
      <c r="DU1" s="520"/>
      <c r="DV1" s="520"/>
      <c r="DW1" s="520"/>
      <c r="DX1" s="520"/>
    </row>
    <row r="2" spans="1:128" ht="19.899999999999999" customHeight="1" x14ac:dyDescent="0.3">
      <c r="A2" s="520"/>
      <c r="B2" s="566" t="s">
        <v>68</v>
      </c>
      <c r="C2" s="409" t="str">
        <f>IF('2. Site Details'!D4="","Enter site name on 2. Site Details",'2. Site Details'!D4)</f>
        <v>Kennally SSJ</v>
      </c>
      <c r="D2" s="408"/>
      <c r="E2" s="520"/>
      <c r="F2" s="407" t="s">
        <v>69</v>
      </c>
      <c r="G2" s="406"/>
      <c r="H2" s="405"/>
      <c r="I2" s="567"/>
      <c r="J2" s="398" t="str" cm="1">
        <f t="array" ref="J2">IFERROR(IF(OR((ISNUMBER(SEARCH("▲",A7:Q101)))),"Input Errors Present On Sheet - Red Cells Or ▲ Highlight Errors","All Key Rules Satisfied ✓ "),"Technical Errors On Sheet ▲")</f>
        <v xml:space="preserve">All Key Rules Satisfied ✓ </v>
      </c>
      <c r="K2" s="398"/>
      <c r="L2" s="398"/>
      <c r="M2" s="398"/>
      <c r="N2" s="567"/>
      <c r="O2" s="569" t="s">
        <v>70</v>
      </c>
      <c r="P2" s="757">
        <f>IFERROR(N32, "Error ▲")</f>
        <v>9.808544000000001E-2</v>
      </c>
      <c r="Q2" s="520"/>
      <c r="R2" s="410"/>
      <c r="S2" s="520"/>
      <c r="T2" s="521"/>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520"/>
      <c r="CD2" s="520"/>
      <c r="CE2" s="520"/>
      <c r="CF2" s="520"/>
      <c r="CG2" s="520"/>
      <c r="CH2" s="520"/>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20"/>
      <c r="DW2" s="520"/>
      <c r="DX2" s="520"/>
    </row>
    <row r="3" spans="1:128" ht="19.899999999999999" customHeight="1" x14ac:dyDescent="0.3">
      <c r="A3" s="520"/>
      <c r="B3" s="568" t="s">
        <v>16</v>
      </c>
      <c r="C3" s="397" t="s">
        <v>71</v>
      </c>
      <c r="D3" s="396"/>
      <c r="E3" s="520"/>
      <c r="F3" s="404"/>
      <c r="G3" s="403"/>
      <c r="H3" s="402"/>
      <c r="I3" s="567"/>
      <c r="J3" s="398"/>
      <c r="K3" s="398"/>
      <c r="L3" s="398"/>
      <c r="M3" s="398"/>
      <c r="N3" s="567"/>
      <c r="O3" s="569" t="s">
        <v>72</v>
      </c>
      <c r="P3" s="757">
        <f>IFERROR(L61, "Error ▲")</f>
        <v>8.7088364952390127E-2</v>
      </c>
      <c r="Q3" s="520"/>
      <c r="R3" s="410"/>
      <c r="S3" s="520"/>
      <c r="T3" s="521"/>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row>
    <row r="4" spans="1:128" ht="19.899999999999999" customHeight="1" x14ac:dyDescent="0.25">
      <c r="A4" s="520"/>
      <c r="B4" s="570"/>
      <c r="C4" s="570"/>
      <c r="D4" s="570"/>
      <c r="E4" s="520"/>
      <c r="F4" s="404"/>
      <c r="G4" s="403"/>
      <c r="H4" s="402"/>
      <c r="I4" s="567"/>
      <c r="J4" s="398"/>
      <c r="K4" s="398"/>
      <c r="L4" s="398"/>
      <c r="M4" s="398"/>
      <c r="N4" s="567"/>
      <c r="O4" s="569" t="s">
        <v>73</v>
      </c>
      <c r="P4" s="757">
        <f>IFERROR(L89, "Error ▲")</f>
        <v>0.11325891152838931</v>
      </c>
      <c r="Q4" s="520"/>
      <c r="R4" s="410"/>
      <c r="S4" s="520"/>
      <c r="T4" s="521"/>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row>
    <row r="5" spans="1:128" ht="19.899999999999999" customHeight="1" x14ac:dyDescent="0.25">
      <c r="A5" s="571"/>
      <c r="B5" s="520"/>
      <c r="C5" s="520"/>
      <c r="D5" s="520"/>
      <c r="E5" s="520"/>
      <c r="F5" s="404"/>
      <c r="G5" s="403"/>
      <c r="H5" s="402"/>
      <c r="I5" s="567"/>
      <c r="J5" s="398"/>
      <c r="K5" s="398"/>
      <c r="L5" s="398"/>
      <c r="M5" s="398"/>
      <c r="N5" s="567"/>
      <c r="O5" s="572" t="s">
        <v>74</v>
      </c>
      <c r="P5" s="758">
        <f>IFERROR((P1+L61+L89)-L32, "Error ▲")</f>
        <v>1.8375116480779413E-2</v>
      </c>
      <c r="Q5" s="520"/>
      <c r="R5" s="410"/>
      <c r="S5" s="520"/>
      <c r="T5" s="521"/>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c r="BL5" s="520"/>
      <c r="BM5" s="520"/>
      <c r="BN5" s="520"/>
      <c r="BO5" s="520"/>
      <c r="BP5" s="520"/>
      <c r="BQ5" s="520"/>
      <c r="BR5" s="520"/>
      <c r="BS5" s="520"/>
      <c r="BT5" s="520"/>
      <c r="BU5" s="520"/>
      <c r="BV5" s="520"/>
      <c r="BW5" s="520"/>
      <c r="BX5" s="520"/>
      <c r="BY5" s="520"/>
      <c r="BZ5" s="520"/>
      <c r="CA5" s="520"/>
      <c r="CB5" s="520"/>
      <c r="CC5" s="520"/>
      <c r="CD5" s="520"/>
      <c r="CE5" s="520"/>
      <c r="CF5" s="520"/>
      <c r="CG5" s="520"/>
      <c r="CH5" s="520"/>
      <c r="CI5" s="520"/>
      <c r="CJ5" s="520"/>
      <c r="CK5" s="520"/>
      <c r="CL5" s="520"/>
      <c r="CM5" s="520"/>
      <c r="CN5" s="520"/>
      <c r="CO5" s="520"/>
      <c r="CP5" s="520"/>
      <c r="CQ5" s="520"/>
      <c r="CR5" s="520"/>
      <c r="CS5" s="520"/>
      <c r="CT5" s="520"/>
      <c r="CU5" s="520"/>
      <c r="CV5" s="520"/>
      <c r="CW5" s="520"/>
      <c r="CX5" s="520"/>
      <c r="CY5" s="520"/>
      <c r="CZ5" s="520"/>
      <c r="DA5" s="520"/>
      <c r="DB5" s="520"/>
      <c r="DC5" s="520"/>
      <c r="DD5" s="520"/>
      <c r="DE5" s="520"/>
      <c r="DF5" s="520"/>
      <c r="DG5" s="520"/>
      <c r="DH5" s="520"/>
      <c r="DI5" s="520"/>
      <c r="DJ5" s="520"/>
      <c r="DK5" s="520"/>
      <c r="DL5" s="520"/>
      <c r="DM5" s="520"/>
      <c r="DN5" s="520"/>
      <c r="DO5" s="520"/>
      <c r="DP5" s="520"/>
      <c r="DQ5" s="520"/>
      <c r="DR5" s="520"/>
      <c r="DS5" s="520"/>
      <c r="DT5" s="520"/>
      <c r="DU5" s="520"/>
      <c r="DV5" s="520"/>
      <c r="DW5" s="520"/>
      <c r="DX5" s="520"/>
    </row>
    <row r="6" spans="1:128" ht="13.15" customHeight="1" x14ac:dyDescent="0.25">
      <c r="A6" s="571"/>
      <c r="B6" s="520"/>
      <c r="C6" s="520"/>
      <c r="D6" s="520"/>
      <c r="E6" s="520"/>
      <c r="F6" s="401"/>
      <c r="G6" s="400"/>
      <c r="H6" s="399"/>
      <c r="I6" s="538"/>
      <c r="J6" s="538"/>
      <c r="K6" s="538"/>
      <c r="L6" s="538"/>
      <c r="M6" s="538"/>
      <c r="N6" s="538"/>
      <c r="O6" s="573"/>
      <c r="P6" s="573"/>
      <c r="Q6" s="520"/>
      <c r="R6" s="410"/>
      <c r="S6" s="520"/>
      <c r="T6" s="521"/>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0"/>
      <c r="AY6" s="520"/>
      <c r="AZ6" s="520"/>
      <c r="BA6" s="520"/>
      <c r="BB6" s="520"/>
      <c r="BC6" s="520"/>
      <c r="BD6" s="520"/>
      <c r="BE6" s="520"/>
      <c r="BF6" s="520"/>
      <c r="BG6" s="520"/>
      <c r="BH6" s="520"/>
      <c r="BI6" s="520"/>
      <c r="BJ6" s="520"/>
      <c r="BK6" s="520"/>
      <c r="BL6" s="520"/>
      <c r="BM6" s="520"/>
      <c r="BN6" s="520"/>
      <c r="BO6" s="520"/>
      <c r="BP6" s="520"/>
      <c r="BQ6" s="520"/>
      <c r="BR6" s="520"/>
      <c r="BS6" s="520"/>
      <c r="BT6" s="520"/>
      <c r="BU6" s="520"/>
      <c r="BV6" s="520"/>
      <c r="BW6" s="520"/>
      <c r="BX6" s="520"/>
      <c r="BY6" s="520"/>
      <c r="BZ6" s="520"/>
      <c r="CA6" s="520"/>
      <c r="CB6" s="520"/>
      <c r="CC6" s="520"/>
      <c r="CD6" s="520"/>
      <c r="CE6" s="520"/>
      <c r="CF6" s="520"/>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0"/>
      <c r="DF6" s="520"/>
      <c r="DG6" s="520"/>
      <c r="DH6" s="520"/>
      <c r="DI6" s="520"/>
      <c r="DJ6" s="520"/>
      <c r="DK6" s="520"/>
      <c r="DL6" s="520"/>
      <c r="DM6" s="520"/>
      <c r="DN6" s="520"/>
      <c r="DO6" s="520"/>
      <c r="DP6" s="520"/>
      <c r="DQ6" s="520"/>
      <c r="DR6" s="520"/>
      <c r="DS6" s="520"/>
      <c r="DT6" s="520"/>
      <c r="DU6" s="520"/>
      <c r="DV6" s="520"/>
      <c r="DW6" s="520"/>
      <c r="DX6" s="520"/>
    </row>
    <row r="7" spans="1:128" ht="19.149999999999999" customHeight="1" x14ac:dyDescent="0.35">
      <c r="A7" s="520"/>
      <c r="B7" s="543" t="s">
        <v>75</v>
      </c>
      <c r="C7" s="520"/>
      <c r="D7" s="574"/>
      <c r="E7" s="520"/>
      <c r="F7" s="520"/>
      <c r="G7" s="520"/>
      <c r="H7" s="521"/>
      <c r="I7" s="520"/>
      <c r="J7" s="520"/>
      <c r="K7" s="521"/>
      <c r="L7" s="525"/>
      <c r="M7" s="525"/>
      <c r="N7" s="525"/>
      <c r="O7" s="520"/>
      <c r="P7" s="520"/>
      <c r="Q7" s="520"/>
      <c r="R7" s="410"/>
      <c r="S7" s="520"/>
      <c r="T7" s="521"/>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0"/>
      <c r="AY7" s="520"/>
      <c r="AZ7" s="520"/>
      <c r="BA7" s="520"/>
      <c r="BB7" s="520"/>
      <c r="BC7" s="520"/>
      <c r="BD7" s="520"/>
      <c r="BE7" s="520"/>
      <c r="BF7" s="520"/>
      <c r="BG7" s="520"/>
      <c r="BH7" s="520"/>
      <c r="BI7" s="520"/>
      <c r="BJ7" s="520"/>
      <c r="BK7" s="520"/>
      <c r="BL7" s="520"/>
      <c r="BM7" s="520"/>
      <c r="BN7" s="520"/>
      <c r="BO7" s="520"/>
      <c r="BP7" s="520"/>
      <c r="BQ7" s="520"/>
      <c r="BR7" s="520"/>
      <c r="BS7" s="520"/>
      <c r="BT7" s="520"/>
      <c r="BU7" s="520"/>
      <c r="BV7" s="520"/>
      <c r="BW7" s="520"/>
      <c r="BX7" s="520"/>
      <c r="BY7" s="520"/>
      <c r="BZ7" s="520"/>
      <c r="CA7" s="520"/>
      <c r="CB7" s="520"/>
      <c r="CC7" s="520"/>
      <c r="CD7" s="520"/>
      <c r="CE7" s="520"/>
      <c r="CF7" s="520"/>
      <c r="CG7" s="520"/>
      <c r="CH7" s="520"/>
      <c r="CI7" s="520"/>
      <c r="CJ7" s="520"/>
      <c r="CK7" s="520"/>
      <c r="CL7" s="520"/>
      <c r="CM7" s="520"/>
      <c r="CN7" s="520"/>
      <c r="CO7" s="520"/>
      <c r="CP7" s="520"/>
      <c r="CQ7" s="520"/>
      <c r="CR7" s="520"/>
      <c r="CS7" s="520"/>
      <c r="CT7" s="520"/>
      <c r="CU7" s="520"/>
      <c r="CV7" s="520"/>
      <c r="CW7" s="520"/>
      <c r="CX7" s="520"/>
      <c r="CY7" s="520"/>
      <c r="CZ7" s="520"/>
      <c r="DA7" s="520"/>
      <c r="DB7" s="520"/>
      <c r="DC7" s="520"/>
      <c r="DD7" s="520"/>
      <c r="DE7" s="520"/>
      <c r="DF7" s="520"/>
      <c r="DG7" s="520"/>
      <c r="DH7" s="520"/>
      <c r="DI7" s="520"/>
      <c r="DJ7" s="520"/>
      <c r="DK7" s="520"/>
      <c r="DL7" s="520"/>
      <c r="DM7" s="520"/>
      <c r="DN7" s="520"/>
      <c r="DO7" s="520"/>
      <c r="DP7" s="520"/>
      <c r="DQ7" s="520"/>
      <c r="DR7" s="520"/>
      <c r="DS7" s="520"/>
      <c r="DT7" s="520"/>
      <c r="DU7" s="520"/>
      <c r="DV7" s="520"/>
      <c r="DW7" s="520"/>
      <c r="DX7" s="520"/>
    </row>
    <row r="8" spans="1:128" ht="10.9" customHeight="1" x14ac:dyDescent="0.25">
      <c r="A8" s="575"/>
      <c r="B8" s="520"/>
      <c r="C8" s="520"/>
      <c r="D8" s="520"/>
      <c r="E8" s="520"/>
      <c r="F8" s="520"/>
      <c r="G8" s="520"/>
      <c r="H8" s="520"/>
      <c r="I8" s="520"/>
      <c r="J8" s="520"/>
      <c r="K8" s="520"/>
      <c r="L8" s="520"/>
      <c r="M8" s="520"/>
      <c r="N8" s="520"/>
      <c r="O8" s="520"/>
      <c r="P8" s="520"/>
      <c r="Q8" s="520"/>
      <c r="R8" s="41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0"/>
      <c r="AY8" s="520"/>
      <c r="AZ8" s="520"/>
      <c r="BA8" s="520"/>
      <c r="BB8" s="520"/>
      <c r="BC8" s="520"/>
      <c r="BD8" s="520"/>
      <c r="BE8" s="520"/>
      <c r="BF8" s="520"/>
      <c r="BG8" s="520"/>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c r="CM8" s="520"/>
      <c r="CN8" s="520"/>
      <c r="CO8" s="520"/>
      <c r="CP8" s="520"/>
      <c r="CQ8" s="520"/>
      <c r="CR8" s="520"/>
      <c r="CS8" s="520"/>
      <c r="CT8" s="520"/>
      <c r="CU8" s="520"/>
      <c r="CV8" s="520"/>
      <c r="CW8" s="520"/>
      <c r="CX8" s="520"/>
      <c r="CY8" s="520"/>
      <c r="CZ8" s="520"/>
      <c r="DA8" s="520"/>
      <c r="DB8" s="520"/>
      <c r="DC8" s="520"/>
      <c r="DD8" s="520"/>
      <c r="DE8" s="520"/>
      <c r="DF8" s="520"/>
      <c r="DG8" s="520"/>
      <c r="DH8" s="520"/>
      <c r="DI8" s="520"/>
      <c r="DJ8" s="520"/>
      <c r="DK8" s="520"/>
      <c r="DL8" s="520"/>
      <c r="DM8" s="520"/>
      <c r="DN8" s="520"/>
      <c r="DO8" s="520"/>
      <c r="DP8" s="520"/>
      <c r="DQ8" s="520"/>
      <c r="DR8" s="520"/>
      <c r="DS8" s="520"/>
      <c r="DT8" s="520"/>
      <c r="DU8" s="520"/>
      <c r="DV8" s="520"/>
      <c r="DW8" s="520"/>
      <c r="DX8" s="520"/>
    </row>
    <row r="9" spans="1:128" ht="29.65" customHeight="1" x14ac:dyDescent="0.25">
      <c r="A9" s="575"/>
      <c r="B9" s="395" t="s">
        <v>60</v>
      </c>
      <c r="C9" s="393" t="s">
        <v>76</v>
      </c>
      <c r="D9" s="392"/>
      <c r="E9" s="391"/>
      <c r="F9" s="390" t="s">
        <v>77</v>
      </c>
      <c r="G9" s="389"/>
      <c r="H9" s="388"/>
      <c r="I9" s="393" t="s">
        <v>78</v>
      </c>
      <c r="J9" s="392"/>
      <c r="K9" s="391"/>
      <c r="L9" s="384" t="s">
        <v>79</v>
      </c>
      <c r="M9" s="383"/>
      <c r="N9" s="382"/>
      <c r="O9" s="384" t="s">
        <v>80</v>
      </c>
      <c r="P9" s="382"/>
      <c r="Q9" s="520"/>
      <c r="R9" s="410"/>
      <c r="S9" s="520"/>
      <c r="T9" s="381" t="s">
        <v>81</v>
      </c>
      <c r="U9" s="380"/>
      <c r="V9" s="379"/>
      <c r="W9" s="378" t="s">
        <v>82</v>
      </c>
      <c r="X9" s="379"/>
      <c r="Y9" s="377"/>
      <c r="Z9" s="377"/>
      <c r="AA9" s="377"/>
      <c r="AB9" s="381" t="s">
        <v>83</v>
      </c>
      <c r="AC9" s="380"/>
      <c r="AD9" s="379"/>
      <c r="AE9" s="381" t="s">
        <v>84</v>
      </c>
      <c r="AF9" s="380"/>
      <c r="AG9" s="379"/>
      <c r="AH9" s="376" t="s">
        <v>85</v>
      </c>
      <c r="AI9" s="374" t="s">
        <v>86</v>
      </c>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0"/>
      <c r="DC9" s="520"/>
      <c r="DD9" s="520"/>
      <c r="DE9" s="520"/>
      <c r="DF9" s="520"/>
      <c r="DG9" s="520"/>
      <c r="DH9" s="520"/>
      <c r="DI9" s="520"/>
      <c r="DJ9" s="520"/>
      <c r="DK9" s="520"/>
      <c r="DL9" s="520"/>
      <c r="DM9" s="520"/>
      <c r="DN9" s="520"/>
      <c r="DO9" s="520"/>
      <c r="DP9" s="520"/>
      <c r="DQ9" s="520"/>
      <c r="DR9" s="520"/>
      <c r="DS9" s="520"/>
      <c r="DT9" s="520"/>
      <c r="DU9" s="520"/>
      <c r="DV9" s="520"/>
      <c r="DW9" s="520"/>
      <c r="DX9" s="520"/>
    </row>
    <row r="10" spans="1:128" ht="31.9" customHeight="1" x14ac:dyDescent="0.25">
      <c r="A10" s="575"/>
      <c r="B10" s="394"/>
      <c r="C10" s="572" t="s">
        <v>87</v>
      </c>
      <c r="D10" s="372" t="s">
        <v>88</v>
      </c>
      <c r="E10" s="371"/>
      <c r="F10" s="387"/>
      <c r="G10" s="386"/>
      <c r="H10" s="385"/>
      <c r="I10" s="572" t="s">
        <v>89</v>
      </c>
      <c r="J10" s="682" t="s">
        <v>90</v>
      </c>
      <c r="K10" s="576" t="s">
        <v>91</v>
      </c>
      <c r="L10" s="572" t="s">
        <v>92</v>
      </c>
      <c r="M10" s="682" t="s">
        <v>93</v>
      </c>
      <c r="N10" s="576" t="s">
        <v>94</v>
      </c>
      <c r="O10" s="572" t="s">
        <v>95</v>
      </c>
      <c r="P10" s="576" t="s">
        <v>96</v>
      </c>
      <c r="Q10" s="520"/>
      <c r="R10" s="410"/>
      <c r="S10" s="520"/>
      <c r="T10" s="370" t="s">
        <v>97</v>
      </c>
      <c r="U10" s="369"/>
      <c r="V10" s="578" t="s">
        <v>98</v>
      </c>
      <c r="W10" s="814" t="s">
        <v>99</v>
      </c>
      <c r="X10" s="578" t="s">
        <v>98</v>
      </c>
      <c r="Y10" s="826"/>
      <c r="Z10" s="826"/>
      <c r="AA10" s="826"/>
      <c r="AB10" s="577" t="s">
        <v>83</v>
      </c>
      <c r="AC10" s="535" t="s">
        <v>83</v>
      </c>
      <c r="AD10" s="578" t="s">
        <v>100</v>
      </c>
      <c r="AE10" s="577" t="s">
        <v>101</v>
      </c>
      <c r="AF10" s="535" t="s">
        <v>102</v>
      </c>
      <c r="AG10" s="578" t="s">
        <v>103</v>
      </c>
      <c r="AH10" s="375"/>
      <c r="AI10" s="373"/>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c r="CJ10" s="520"/>
      <c r="CK10" s="520"/>
      <c r="CL10" s="520"/>
      <c r="CM10" s="520"/>
      <c r="CN10" s="520"/>
      <c r="CO10" s="520"/>
      <c r="CP10" s="520"/>
      <c r="CQ10" s="520"/>
      <c r="CR10" s="520"/>
      <c r="CS10" s="520"/>
      <c r="CT10" s="520"/>
      <c r="CU10" s="520"/>
      <c r="CV10" s="520"/>
      <c r="CW10" s="520"/>
      <c r="CX10" s="520"/>
      <c r="CY10" s="520"/>
      <c r="CZ10" s="520"/>
      <c r="DA10" s="520"/>
      <c r="DB10" s="520"/>
      <c r="DC10" s="520"/>
      <c r="DD10" s="520"/>
      <c r="DE10" s="520"/>
      <c r="DF10" s="520"/>
      <c r="DG10" s="520"/>
      <c r="DH10" s="520"/>
      <c r="DI10" s="520"/>
      <c r="DJ10" s="520"/>
      <c r="DK10" s="520"/>
      <c r="DL10" s="520"/>
      <c r="DM10" s="520"/>
      <c r="DN10" s="520"/>
      <c r="DO10" s="520"/>
      <c r="DP10" s="520"/>
      <c r="DQ10" s="520"/>
      <c r="DR10" s="520"/>
      <c r="DS10" s="520"/>
      <c r="DT10" s="520"/>
      <c r="DU10" s="520"/>
      <c r="DV10" s="520"/>
      <c r="DW10" s="520"/>
      <c r="DX10" s="520"/>
    </row>
    <row r="11" spans="1:128" ht="15.6" customHeight="1" x14ac:dyDescent="0.25">
      <c r="A11" s="575"/>
      <c r="B11" s="743">
        <v>1</v>
      </c>
      <c r="C11" s="738" t="s">
        <v>218</v>
      </c>
      <c r="D11" s="368" t="s">
        <v>321</v>
      </c>
      <c r="E11" s="367"/>
      <c r="F11" s="366" t="s">
        <v>188</v>
      </c>
      <c r="G11" s="365"/>
      <c r="H11" s="364"/>
      <c r="I11" s="785">
        <v>454.93040000000002</v>
      </c>
      <c r="J11" s="803">
        <v>0</v>
      </c>
      <c r="K11" s="787">
        <v>209.71680000000001</v>
      </c>
      <c r="L11" s="886">
        <f t="shared" ref="L11:L30" si="0">IF(C11="","",IFERROR(IF(I11="","",((I11/10000)*V11*X11)*AD11),"Error ▲"))</f>
        <v>0.18197216000000002</v>
      </c>
      <c r="M11" s="886">
        <f t="shared" ref="M11:M30" si="1">IF(I11="","",IF(J11+K11&gt;I11,"Area Error ▲",I11-J11-K11))</f>
        <v>245.21360000000001</v>
      </c>
      <c r="N11" s="887">
        <f t="shared" ref="N11:N30" si="2">IFERROR(IF(I11="","",IF(M11="Area Error ▲","Area Error ▲",((M11/10000)*V11*X11)*AD11)),"This intervention is not permitted within the SSM ▲")</f>
        <v>9.808544000000001E-2</v>
      </c>
      <c r="O11" s="553"/>
      <c r="P11" s="501"/>
      <c r="Q11" s="520"/>
      <c r="R11" s="410"/>
      <c r="S11" s="520"/>
      <c r="T11" s="363" t="str">
        <f>IF(C11="","",VLOOKUP(D11,'9. All Habitats + Multipliers'!$C$4:$K$102,5,FALSE))</f>
        <v>Low</v>
      </c>
      <c r="U11" s="362"/>
      <c r="V11" s="580">
        <f>IF(T11="","",VLOOKUP(T11,'11. Lists'!$B$47:$D$49,2,FALSE))</f>
        <v>2</v>
      </c>
      <c r="W11" s="669" t="str">
        <f>IF(C11="","",VLOOKUP(D11,'10. Condition and Temporal'!$B$6:$C$103,2,FALSE))</f>
        <v>Moderate</v>
      </c>
      <c r="X11" s="580">
        <f>IF(W11="","",VLOOKUP(W11,'11. Lists'!$F$47:$G$51,2,FALSE))</f>
        <v>2</v>
      </c>
      <c r="Y11" s="534"/>
      <c r="Z11" s="534"/>
      <c r="AA11" s="534"/>
      <c r="AB11" s="579" t="str">
        <f t="shared" ref="AB11:AB31" si="3">IF(F11="","",F11)</f>
        <v>Area/compensation not in local strategy/ no local strategy</v>
      </c>
      <c r="AC11" s="581" t="str">
        <f>IF(AB11="","",VLOOKUP(AB11,'11. Lists'!$F$36:$H$38,2,FALSE))</f>
        <v>Low Strategic Significance</v>
      </c>
      <c r="AD11" s="580">
        <f>IF(AB11="","",VLOOKUP(AB11,'11. Lists'!$F$36:$H$38,3,FALSE))</f>
        <v>1</v>
      </c>
      <c r="AE11" s="778">
        <f t="shared" ref="AE11:AE30" si="4">IF(D11="","",((J11/10000)*V11*X11)*AD11)</f>
        <v>0</v>
      </c>
      <c r="AF11" s="779">
        <f t="shared" ref="AF11:AF30" si="5">IF(D11="","",((K11/10000)*V11*X11)*AD11)</f>
        <v>8.3886719999999998E-2</v>
      </c>
      <c r="AG11" s="582">
        <f t="shared" ref="AG11:AG31" si="6">IF(D11="","",M11)</f>
        <v>245.21360000000001</v>
      </c>
      <c r="AH11" s="989" t="str">
        <f>IF(T11="","",VLOOKUP(T11,'11. Lists'!$B$47:$D$49,3,FALSE))</f>
        <v>Same distinctiveness or better habitat required</v>
      </c>
      <c r="AI11" s="1023" t="str">
        <f>IF(D11="","",VLOOKUP(D11,'10. Condition and Temporal'!$B$6:$L$103,4,FALSE))</f>
        <v>Modified grassland, Other lowland acid grassland, Other neutral grassland, Upland acid grassland</v>
      </c>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520"/>
      <c r="BZ11" s="520"/>
      <c r="CA11" s="520"/>
      <c r="CB11" s="520"/>
      <c r="CC11" s="520"/>
      <c r="CD11" s="520"/>
      <c r="CE11" s="520"/>
      <c r="CF11" s="520"/>
      <c r="CG11" s="520"/>
      <c r="CH11" s="520"/>
      <c r="CI11" s="520"/>
      <c r="CJ11" s="520"/>
      <c r="CK11" s="520"/>
      <c r="CL11" s="520"/>
      <c r="CM11" s="520"/>
      <c r="CN11" s="520"/>
      <c r="CO11" s="520"/>
      <c r="CP11" s="520"/>
      <c r="CQ11" s="520"/>
      <c r="CR11" s="520"/>
      <c r="CS11" s="520"/>
      <c r="CT11" s="520"/>
      <c r="CU11" s="520"/>
      <c r="CV11" s="520"/>
      <c r="CW11" s="520"/>
      <c r="CX11" s="520"/>
      <c r="CY11" s="520"/>
      <c r="CZ11" s="520"/>
      <c r="DA11" s="520"/>
      <c r="DB11" s="520"/>
      <c r="DC11" s="520"/>
      <c r="DD11" s="520"/>
      <c r="DE11" s="520"/>
      <c r="DF11" s="520"/>
      <c r="DG11" s="520"/>
      <c r="DH11" s="520"/>
      <c r="DI11" s="520"/>
      <c r="DJ11" s="520"/>
      <c r="DK11" s="520"/>
      <c r="DL11" s="520"/>
      <c r="DM11" s="520"/>
      <c r="DN11" s="520"/>
      <c r="DO11" s="520"/>
      <c r="DP11" s="520"/>
      <c r="DQ11" s="520"/>
      <c r="DR11" s="520"/>
      <c r="DS11" s="520"/>
      <c r="DT11" s="520"/>
      <c r="DU11" s="520"/>
      <c r="DV11" s="520"/>
      <c r="DW11" s="520"/>
      <c r="DX11" s="520"/>
    </row>
    <row r="12" spans="1:128" ht="15.6" customHeight="1" x14ac:dyDescent="0.25">
      <c r="A12" s="520"/>
      <c r="B12" s="744">
        <v>2</v>
      </c>
      <c r="C12" s="738"/>
      <c r="D12" s="361"/>
      <c r="E12" s="360"/>
      <c r="F12" s="366"/>
      <c r="G12" s="365"/>
      <c r="H12" s="364"/>
      <c r="I12" s="785"/>
      <c r="J12" s="786"/>
      <c r="K12" s="787"/>
      <c r="L12" s="781" t="str">
        <f t="shared" si="0"/>
        <v/>
      </c>
      <c r="M12" s="781" t="str">
        <f t="shared" si="1"/>
        <v/>
      </c>
      <c r="N12" s="836" t="str">
        <f t="shared" si="2"/>
        <v/>
      </c>
      <c r="O12" s="554"/>
      <c r="P12" s="499"/>
      <c r="Q12" s="520"/>
      <c r="R12" s="410"/>
      <c r="S12" s="520"/>
      <c r="T12" s="363" t="str">
        <f>IF(C12="","",VLOOKUP(D12,'9. All Habitats + Multipliers'!$C$4:$K$102,5,FALSE))</f>
        <v/>
      </c>
      <c r="U12" s="362"/>
      <c r="V12" s="580" t="str">
        <f>IF(T12="","",VLOOKUP(T12,'11. Lists'!$B$47:$D$49,2,FALSE))</f>
        <v/>
      </c>
      <c r="W12" s="669" t="str">
        <f>IF(C12="","",VLOOKUP(D12,'10. Condition and Temporal'!$B$6:$C$103,2,FALSE))</f>
        <v/>
      </c>
      <c r="X12" s="580" t="str">
        <f>IF(W12="","",VLOOKUP(W12,'11. Lists'!$F$47:$G$51,2,FALSE))</f>
        <v/>
      </c>
      <c r="Y12" s="534"/>
      <c r="Z12" s="534"/>
      <c r="AA12" s="534"/>
      <c r="AB12" s="579" t="str">
        <f t="shared" si="3"/>
        <v/>
      </c>
      <c r="AC12" s="581" t="str">
        <f>IF(AB12="","",VLOOKUP(AB12,'11. Lists'!$F$36:$H$38,2,FALSE))</f>
        <v/>
      </c>
      <c r="AD12" s="580" t="str">
        <f>IF(AB12="","",VLOOKUP(AB12,'11. Lists'!$F$36:$H$38,3,FALSE))</f>
        <v/>
      </c>
      <c r="AE12" s="778" t="str">
        <f t="shared" si="4"/>
        <v/>
      </c>
      <c r="AF12" s="779" t="str">
        <f t="shared" si="5"/>
        <v/>
      </c>
      <c r="AG12" s="582" t="str">
        <f t="shared" si="6"/>
        <v/>
      </c>
      <c r="AH12" s="989" t="str">
        <f>IF(T12="","",VLOOKUP(T12,'11. Lists'!$B$47:$D$49,3,FALSE))</f>
        <v/>
      </c>
      <c r="AI12" s="1023" t="str">
        <f>IF(D12="","",VLOOKUP(D12,'10. Condition and Temporal'!$B$6:$L$103,4,FALSE))</f>
        <v/>
      </c>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520"/>
      <c r="BG12" s="520"/>
      <c r="BH12" s="520"/>
      <c r="BI12" s="520"/>
      <c r="BJ12" s="520"/>
      <c r="BK12" s="520"/>
      <c r="BL12" s="520"/>
      <c r="BM12" s="520"/>
      <c r="BN12" s="520"/>
      <c r="BO12" s="520"/>
      <c r="BP12" s="520"/>
      <c r="BQ12" s="520"/>
      <c r="BR12" s="520"/>
      <c r="BS12" s="520"/>
      <c r="BT12" s="520"/>
      <c r="BU12" s="520"/>
      <c r="BV12" s="520"/>
      <c r="BW12" s="520"/>
      <c r="BX12" s="520"/>
      <c r="BY12" s="520"/>
      <c r="BZ12" s="520"/>
      <c r="CA12" s="520"/>
      <c r="CB12" s="520"/>
      <c r="CC12" s="520"/>
      <c r="CD12" s="520"/>
      <c r="CE12" s="520"/>
      <c r="CF12" s="520"/>
      <c r="CG12" s="520"/>
      <c r="CH12" s="520"/>
      <c r="CI12" s="520"/>
      <c r="CJ12" s="520"/>
      <c r="CK12" s="520"/>
      <c r="CL12" s="520"/>
      <c r="CM12" s="520"/>
      <c r="CN12" s="520"/>
      <c r="CO12" s="520"/>
      <c r="CP12" s="520"/>
      <c r="CQ12" s="520"/>
      <c r="CR12" s="520"/>
      <c r="CS12" s="520"/>
      <c r="CT12" s="520"/>
      <c r="CU12" s="520"/>
      <c r="CV12" s="520"/>
      <c r="CW12" s="520"/>
      <c r="CX12" s="520"/>
      <c r="CY12" s="520"/>
      <c r="CZ12" s="520"/>
      <c r="DA12" s="520"/>
      <c r="DB12" s="520"/>
      <c r="DC12" s="520"/>
      <c r="DD12" s="520"/>
      <c r="DE12" s="520"/>
      <c r="DF12" s="520"/>
      <c r="DG12" s="520"/>
      <c r="DH12" s="520"/>
      <c r="DI12" s="520"/>
      <c r="DJ12" s="520"/>
      <c r="DK12" s="520"/>
      <c r="DL12" s="520"/>
      <c r="DM12" s="520"/>
      <c r="DN12" s="520"/>
      <c r="DO12" s="520"/>
      <c r="DP12" s="520"/>
      <c r="DQ12" s="520"/>
      <c r="DR12" s="520"/>
      <c r="DS12" s="520"/>
      <c r="DT12" s="520"/>
      <c r="DU12" s="520"/>
      <c r="DV12" s="520"/>
      <c r="DW12" s="520"/>
      <c r="DX12" s="520"/>
    </row>
    <row r="13" spans="1:128" ht="15.6" customHeight="1" x14ac:dyDescent="0.25">
      <c r="A13" s="520"/>
      <c r="B13" s="744">
        <v>3</v>
      </c>
      <c r="C13" s="738"/>
      <c r="D13" s="361"/>
      <c r="E13" s="360"/>
      <c r="F13" s="366"/>
      <c r="G13" s="365"/>
      <c r="H13" s="364"/>
      <c r="I13" s="785"/>
      <c r="J13" s="786"/>
      <c r="K13" s="787"/>
      <c r="L13" s="781" t="str">
        <f t="shared" si="0"/>
        <v/>
      </c>
      <c r="M13" s="781" t="str">
        <f t="shared" si="1"/>
        <v/>
      </c>
      <c r="N13" s="836" t="str">
        <f t="shared" si="2"/>
        <v/>
      </c>
      <c r="O13" s="554"/>
      <c r="P13" s="499"/>
      <c r="Q13" s="520"/>
      <c r="R13" s="410"/>
      <c r="S13" s="520"/>
      <c r="T13" s="363" t="str">
        <f>IF(C13="","",VLOOKUP(D13,'9. All Habitats + Multipliers'!$C$4:$K$102,5,FALSE))</f>
        <v/>
      </c>
      <c r="U13" s="362"/>
      <c r="V13" s="580" t="str">
        <f>IF(T13="","",VLOOKUP(T13,'11. Lists'!$B$47:$D$49,2,FALSE))</f>
        <v/>
      </c>
      <c r="W13" s="669" t="str">
        <f>IF(C13="","",VLOOKUP(D13,'10. Condition and Temporal'!$B$6:$C$103,2,FALSE))</f>
        <v/>
      </c>
      <c r="X13" s="580" t="str">
        <f>IF(W13="","",VLOOKUP(W13,'11. Lists'!$F$47:$G$51,2,FALSE))</f>
        <v/>
      </c>
      <c r="Y13" s="534"/>
      <c r="Z13" s="534"/>
      <c r="AA13" s="534"/>
      <c r="AB13" s="579" t="str">
        <f t="shared" si="3"/>
        <v/>
      </c>
      <c r="AC13" s="581" t="str">
        <f>IF(AB13="","",VLOOKUP(AB13,'11. Lists'!$F$36:$H$38,2,FALSE))</f>
        <v/>
      </c>
      <c r="AD13" s="580" t="str">
        <f>IF(AB13="","",VLOOKUP(AB13,'11. Lists'!$F$36:$H$38,3,FALSE))</f>
        <v/>
      </c>
      <c r="AE13" s="778" t="str">
        <f t="shared" si="4"/>
        <v/>
      </c>
      <c r="AF13" s="779" t="str">
        <f t="shared" si="5"/>
        <v/>
      </c>
      <c r="AG13" s="582" t="str">
        <f t="shared" si="6"/>
        <v/>
      </c>
      <c r="AH13" s="989" t="str">
        <f>IF(T13="","",VLOOKUP(T13,'11. Lists'!$B$47:$D$49,3,FALSE))</f>
        <v/>
      </c>
      <c r="AI13" s="1023" t="str">
        <f>IF(D13="","",VLOOKUP(D13,'10. Condition and Temporal'!$B$6:$L$103,4,FALSE))</f>
        <v/>
      </c>
      <c r="AJ13" s="520"/>
      <c r="AK13" s="520"/>
      <c r="AL13" s="520"/>
      <c r="AM13" s="520"/>
      <c r="AN13" s="520"/>
      <c r="AO13" s="520"/>
      <c r="AP13" s="520"/>
      <c r="AQ13" s="520"/>
      <c r="AR13" s="520"/>
      <c r="AS13" s="520"/>
      <c r="AT13" s="520"/>
      <c r="AU13" s="520"/>
      <c r="AV13" s="520"/>
      <c r="AW13" s="520"/>
      <c r="AX13" s="520"/>
      <c r="AY13" s="520"/>
      <c r="AZ13" s="520"/>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c r="BZ13" s="520"/>
      <c r="CA13" s="520"/>
      <c r="CB13" s="520"/>
      <c r="CC13" s="520"/>
      <c r="CD13" s="520"/>
      <c r="CE13" s="520"/>
      <c r="CF13" s="520"/>
      <c r="CG13" s="520"/>
      <c r="CH13" s="520"/>
      <c r="CI13" s="520"/>
      <c r="CJ13" s="520"/>
      <c r="CK13" s="520"/>
      <c r="CL13" s="520"/>
      <c r="CM13" s="520"/>
      <c r="CN13" s="520"/>
      <c r="CO13" s="520"/>
      <c r="CP13" s="520"/>
      <c r="CQ13" s="520"/>
      <c r="CR13" s="520"/>
      <c r="CS13" s="520"/>
      <c r="CT13" s="520"/>
      <c r="CU13" s="520"/>
      <c r="CV13" s="520"/>
      <c r="CW13" s="520"/>
      <c r="CX13" s="520"/>
      <c r="CY13" s="520"/>
      <c r="CZ13" s="520"/>
      <c r="DA13" s="520"/>
      <c r="DB13" s="520"/>
      <c r="DC13" s="520"/>
      <c r="DD13" s="520"/>
      <c r="DE13" s="520"/>
      <c r="DF13" s="520"/>
      <c r="DG13" s="520"/>
      <c r="DH13" s="520"/>
      <c r="DI13" s="520"/>
      <c r="DJ13" s="520"/>
      <c r="DK13" s="520"/>
      <c r="DL13" s="520"/>
      <c r="DM13" s="520"/>
      <c r="DN13" s="520"/>
      <c r="DO13" s="520"/>
      <c r="DP13" s="520"/>
      <c r="DQ13" s="520"/>
      <c r="DR13" s="520"/>
      <c r="DS13" s="520"/>
      <c r="DT13" s="520"/>
      <c r="DU13" s="520"/>
      <c r="DV13" s="520"/>
      <c r="DW13" s="520"/>
      <c r="DX13" s="520"/>
    </row>
    <row r="14" spans="1:128" ht="15.6" customHeight="1" x14ac:dyDescent="0.25">
      <c r="A14" s="520"/>
      <c r="B14" s="744">
        <v>4</v>
      </c>
      <c r="C14" s="738"/>
      <c r="D14" s="368"/>
      <c r="E14" s="367"/>
      <c r="F14" s="366"/>
      <c r="G14" s="365"/>
      <c r="H14" s="364"/>
      <c r="I14" s="785"/>
      <c r="J14" s="786"/>
      <c r="K14" s="787"/>
      <c r="L14" s="781" t="str">
        <f t="shared" si="0"/>
        <v/>
      </c>
      <c r="M14" s="781" t="str">
        <f t="shared" si="1"/>
        <v/>
      </c>
      <c r="N14" s="836" t="str">
        <f t="shared" si="2"/>
        <v/>
      </c>
      <c r="O14" s="554"/>
      <c r="P14" s="499"/>
      <c r="Q14" s="520"/>
      <c r="R14" s="410"/>
      <c r="S14" s="520"/>
      <c r="T14" s="363" t="str">
        <f>IF(C14="","",VLOOKUP(D14,'9. All Habitats + Multipliers'!$C$4:$K$102,5,FALSE))</f>
        <v/>
      </c>
      <c r="U14" s="362"/>
      <c r="V14" s="580" t="str">
        <f>IF(T14="","",VLOOKUP(T14,'11. Lists'!$B$47:$D$49,2,FALSE))</f>
        <v/>
      </c>
      <c r="W14" s="669" t="str">
        <f>IF(C14="","",VLOOKUP(D14,'10. Condition and Temporal'!$B$6:$C$103,2,FALSE))</f>
        <v/>
      </c>
      <c r="X14" s="580" t="str">
        <f>IF(W14="","",VLOOKUP(W14,'11. Lists'!$F$47:$G$51,2,FALSE))</f>
        <v/>
      </c>
      <c r="Y14" s="534"/>
      <c r="Z14" s="534"/>
      <c r="AA14" s="534"/>
      <c r="AB14" s="579" t="str">
        <f t="shared" si="3"/>
        <v/>
      </c>
      <c r="AC14" s="581" t="str">
        <f>IF(AB14="","",VLOOKUP(AB14,'11. Lists'!$F$36:$H$38,2,FALSE))</f>
        <v/>
      </c>
      <c r="AD14" s="580" t="str">
        <f>IF(AB14="","",VLOOKUP(AB14,'11. Lists'!$F$36:$H$38,3,FALSE))</f>
        <v/>
      </c>
      <c r="AE14" s="778" t="str">
        <f t="shared" si="4"/>
        <v/>
      </c>
      <c r="AF14" s="779" t="str">
        <f t="shared" si="5"/>
        <v/>
      </c>
      <c r="AG14" s="582" t="str">
        <f t="shared" si="6"/>
        <v/>
      </c>
      <c r="AH14" s="989" t="str">
        <f>IF(T14="","",VLOOKUP(T14,'11. Lists'!$B$47:$D$49,3,FALSE))</f>
        <v/>
      </c>
      <c r="AI14" s="1023" t="str">
        <f>IF(D14="","",VLOOKUP(D14,'10. Condition and Temporal'!$B$6:$L$103,4,FALSE))</f>
        <v/>
      </c>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c r="BZ14" s="520"/>
      <c r="CA14" s="520"/>
      <c r="CB14" s="520"/>
      <c r="CC14" s="520"/>
      <c r="CD14" s="520"/>
      <c r="CE14" s="520"/>
      <c r="CF14" s="520"/>
      <c r="CG14" s="520"/>
      <c r="CH14" s="520"/>
      <c r="CI14" s="520"/>
      <c r="CJ14" s="520"/>
      <c r="CK14" s="520"/>
      <c r="CL14" s="520"/>
      <c r="CM14" s="520"/>
      <c r="CN14" s="520"/>
      <c r="CO14" s="520"/>
      <c r="CP14" s="520"/>
      <c r="CQ14" s="520"/>
      <c r="CR14" s="520"/>
      <c r="CS14" s="520"/>
      <c r="CT14" s="520"/>
      <c r="CU14" s="520"/>
      <c r="CV14" s="520"/>
      <c r="CW14" s="520"/>
      <c r="CX14" s="520"/>
      <c r="CY14" s="520"/>
      <c r="CZ14" s="520"/>
      <c r="DA14" s="520"/>
      <c r="DB14" s="520"/>
      <c r="DC14" s="520"/>
      <c r="DD14" s="520"/>
      <c r="DE14" s="520"/>
      <c r="DF14" s="520"/>
      <c r="DG14" s="520"/>
      <c r="DH14" s="520"/>
      <c r="DI14" s="520"/>
      <c r="DJ14" s="520"/>
      <c r="DK14" s="520"/>
      <c r="DL14" s="520"/>
      <c r="DM14" s="520"/>
      <c r="DN14" s="520"/>
      <c r="DO14" s="520"/>
      <c r="DP14" s="520"/>
      <c r="DQ14" s="520"/>
      <c r="DR14" s="520"/>
      <c r="DS14" s="520"/>
      <c r="DT14" s="520"/>
      <c r="DU14" s="520"/>
      <c r="DV14" s="520"/>
      <c r="DW14" s="520"/>
      <c r="DX14" s="520"/>
    </row>
    <row r="15" spans="1:128" ht="15.6" customHeight="1" x14ac:dyDescent="0.25">
      <c r="A15" s="520"/>
      <c r="B15" s="744">
        <v>5</v>
      </c>
      <c r="C15" s="738"/>
      <c r="D15" s="361"/>
      <c r="E15" s="360"/>
      <c r="F15" s="366"/>
      <c r="G15" s="365"/>
      <c r="H15" s="364"/>
      <c r="I15" s="785"/>
      <c r="J15" s="786"/>
      <c r="K15" s="787"/>
      <c r="L15" s="781" t="str">
        <f t="shared" si="0"/>
        <v/>
      </c>
      <c r="M15" s="781" t="str">
        <f t="shared" si="1"/>
        <v/>
      </c>
      <c r="N15" s="836" t="str">
        <f t="shared" si="2"/>
        <v/>
      </c>
      <c r="O15" s="554"/>
      <c r="P15" s="499"/>
      <c r="Q15" s="520"/>
      <c r="R15" s="410"/>
      <c r="S15" s="520"/>
      <c r="T15" s="363" t="str">
        <f>IF(C15="","",VLOOKUP(D15,'9. All Habitats + Multipliers'!$C$4:$K$102,5,FALSE))</f>
        <v/>
      </c>
      <c r="U15" s="362"/>
      <c r="V15" s="580" t="str">
        <f>IF(T15="","",VLOOKUP(T15,'11. Lists'!$B$47:$D$49,2,FALSE))</f>
        <v/>
      </c>
      <c r="W15" s="669" t="str">
        <f>IF(C15="","",VLOOKUP(D15,'10. Condition and Temporal'!$B$6:$C$103,2,FALSE))</f>
        <v/>
      </c>
      <c r="X15" s="580" t="str">
        <f>IF(W15="","",VLOOKUP(W15,'11. Lists'!$F$47:$G$51,2,FALSE))</f>
        <v/>
      </c>
      <c r="Y15" s="534"/>
      <c r="Z15" s="534"/>
      <c r="AA15" s="534"/>
      <c r="AB15" s="579" t="str">
        <f t="shared" si="3"/>
        <v/>
      </c>
      <c r="AC15" s="581" t="str">
        <f>IF(AB15="","",VLOOKUP(AB15,'11. Lists'!$F$36:$H$38,2,FALSE))</f>
        <v/>
      </c>
      <c r="AD15" s="580" t="str">
        <f>IF(AB15="","",VLOOKUP(AB15,'11. Lists'!$F$36:$H$38,3,FALSE))</f>
        <v/>
      </c>
      <c r="AE15" s="778" t="str">
        <f t="shared" si="4"/>
        <v/>
      </c>
      <c r="AF15" s="779" t="str">
        <f t="shared" si="5"/>
        <v/>
      </c>
      <c r="AG15" s="582" t="str">
        <f t="shared" si="6"/>
        <v/>
      </c>
      <c r="AH15" s="989" t="str">
        <f>IF(T15="","",VLOOKUP(T15,'11. Lists'!$B$47:$D$49,3,FALSE))</f>
        <v/>
      </c>
      <c r="AI15" s="1023" t="str">
        <f>IF(D15="","",VLOOKUP(D15,'10. Condition and Temporal'!$B$6:$L$103,4,FALSE))</f>
        <v/>
      </c>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row>
    <row r="16" spans="1:128" ht="15.6" customHeight="1" x14ac:dyDescent="0.25">
      <c r="A16" s="520"/>
      <c r="B16" s="744">
        <v>6</v>
      </c>
      <c r="C16" s="738"/>
      <c r="D16" s="361"/>
      <c r="E16" s="360"/>
      <c r="F16" s="366"/>
      <c r="G16" s="365"/>
      <c r="H16" s="364"/>
      <c r="I16" s="785"/>
      <c r="J16" s="786"/>
      <c r="K16" s="787"/>
      <c r="L16" s="781" t="str">
        <f t="shared" si="0"/>
        <v/>
      </c>
      <c r="M16" s="781" t="str">
        <f t="shared" si="1"/>
        <v/>
      </c>
      <c r="N16" s="836" t="str">
        <f t="shared" si="2"/>
        <v/>
      </c>
      <c r="O16" s="554"/>
      <c r="P16" s="499"/>
      <c r="Q16" s="520"/>
      <c r="R16" s="410"/>
      <c r="S16" s="520"/>
      <c r="T16" s="363" t="str">
        <f>IF(C16="","",VLOOKUP(D16,'9. All Habitats + Multipliers'!$C$4:$K$102,5,FALSE))</f>
        <v/>
      </c>
      <c r="U16" s="362"/>
      <c r="V16" s="580" t="str">
        <f>IF(T16="","",VLOOKUP(T16,'11. Lists'!$B$47:$D$49,2,FALSE))</f>
        <v/>
      </c>
      <c r="W16" s="669" t="str">
        <f>IF(C16="","",VLOOKUP(D16,'10. Condition and Temporal'!$B$6:$C$103,2,FALSE))</f>
        <v/>
      </c>
      <c r="X16" s="580" t="str">
        <f>IF(W16="","",VLOOKUP(W16,'11. Lists'!$F$47:$G$51,2,FALSE))</f>
        <v/>
      </c>
      <c r="Y16" s="534"/>
      <c r="Z16" s="534"/>
      <c r="AA16" s="534"/>
      <c r="AB16" s="579" t="str">
        <f t="shared" si="3"/>
        <v/>
      </c>
      <c r="AC16" s="581" t="str">
        <f>IF(AB16="","",VLOOKUP(AB16,'11. Lists'!$F$36:$H$38,2,FALSE))</f>
        <v/>
      </c>
      <c r="AD16" s="580" t="str">
        <f>IF(AB16="","",VLOOKUP(AB16,'11. Lists'!$F$36:$H$38,3,FALSE))</f>
        <v/>
      </c>
      <c r="AE16" s="778" t="str">
        <f t="shared" si="4"/>
        <v/>
      </c>
      <c r="AF16" s="779" t="str">
        <f t="shared" si="5"/>
        <v/>
      </c>
      <c r="AG16" s="582" t="str">
        <f t="shared" si="6"/>
        <v/>
      </c>
      <c r="AH16" s="989" t="str">
        <f>IF(T16="","",VLOOKUP(T16,'11. Lists'!$B$47:$D$49,3,FALSE))</f>
        <v/>
      </c>
      <c r="AI16" s="1023" t="str">
        <f>IF(D16="","",VLOOKUP(D16,'10. Condition and Temporal'!$B$6:$L$103,4,FALSE))</f>
        <v/>
      </c>
      <c r="AJ16" s="520"/>
      <c r="AK16" s="520"/>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0"/>
      <c r="BJ16" s="520"/>
      <c r="BK16" s="520"/>
      <c r="BL16" s="520"/>
      <c r="BM16" s="520"/>
      <c r="BN16" s="520"/>
      <c r="BO16" s="520"/>
      <c r="BP16" s="520"/>
      <c r="BQ16" s="520"/>
      <c r="BR16" s="520"/>
      <c r="BS16" s="520"/>
      <c r="BT16" s="520"/>
      <c r="BU16" s="520"/>
      <c r="BV16" s="520"/>
      <c r="BW16" s="520"/>
      <c r="BX16" s="520"/>
      <c r="BY16" s="520"/>
      <c r="BZ16" s="520"/>
      <c r="CA16" s="520"/>
      <c r="CB16" s="520"/>
      <c r="CC16" s="520"/>
      <c r="CD16" s="520"/>
      <c r="CE16" s="520"/>
      <c r="CF16" s="520"/>
      <c r="CG16" s="520"/>
      <c r="CH16" s="520"/>
      <c r="CI16" s="520"/>
      <c r="CJ16" s="520"/>
      <c r="CK16" s="520"/>
      <c r="CL16" s="520"/>
      <c r="CM16" s="520"/>
      <c r="CN16" s="520"/>
      <c r="CO16" s="520"/>
      <c r="CP16" s="520"/>
      <c r="CQ16" s="520"/>
      <c r="CR16" s="520"/>
      <c r="CS16" s="520"/>
      <c r="CT16" s="520"/>
      <c r="CU16" s="520"/>
      <c r="CV16" s="520"/>
      <c r="CW16" s="520"/>
      <c r="CX16" s="520"/>
      <c r="CY16" s="520"/>
      <c r="CZ16" s="520"/>
      <c r="DA16" s="520"/>
      <c r="DB16" s="520"/>
      <c r="DC16" s="520"/>
      <c r="DD16" s="520"/>
      <c r="DE16" s="520"/>
      <c r="DF16" s="520"/>
      <c r="DG16" s="520"/>
      <c r="DH16" s="520"/>
      <c r="DI16" s="520"/>
      <c r="DJ16" s="520"/>
      <c r="DK16" s="520"/>
      <c r="DL16" s="520"/>
      <c r="DM16" s="520"/>
      <c r="DN16" s="520"/>
      <c r="DO16" s="520"/>
      <c r="DP16" s="520"/>
      <c r="DQ16" s="520"/>
      <c r="DR16" s="520"/>
      <c r="DS16" s="520"/>
      <c r="DT16" s="520"/>
      <c r="DU16" s="520"/>
      <c r="DV16" s="520"/>
      <c r="DW16" s="520"/>
      <c r="DX16" s="520"/>
    </row>
    <row r="17" spans="1:128" ht="15.6" customHeight="1" x14ac:dyDescent="0.25">
      <c r="A17" s="520"/>
      <c r="B17" s="744">
        <v>7</v>
      </c>
      <c r="C17" s="738"/>
      <c r="D17" s="361"/>
      <c r="E17" s="360"/>
      <c r="F17" s="366"/>
      <c r="G17" s="365"/>
      <c r="H17" s="364"/>
      <c r="I17" s="785"/>
      <c r="J17" s="786"/>
      <c r="K17" s="787"/>
      <c r="L17" s="781" t="str">
        <f t="shared" si="0"/>
        <v/>
      </c>
      <c r="M17" s="781" t="str">
        <f t="shared" si="1"/>
        <v/>
      </c>
      <c r="N17" s="836" t="str">
        <f t="shared" si="2"/>
        <v/>
      </c>
      <c r="O17" s="554"/>
      <c r="P17" s="499"/>
      <c r="Q17" s="520"/>
      <c r="R17" s="410"/>
      <c r="S17" s="520"/>
      <c r="T17" s="363" t="str">
        <f>IF(C17="","",VLOOKUP(D17,'9. All Habitats + Multipliers'!$C$4:$K$102,5,FALSE))</f>
        <v/>
      </c>
      <c r="U17" s="362"/>
      <c r="V17" s="580" t="str">
        <f>IF(T17="","",VLOOKUP(T17,'11. Lists'!$B$47:$D$49,2,FALSE))</f>
        <v/>
      </c>
      <c r="W17" s="669" t="str">
        <f>IF(C17="","",VLOOKUP(D17,'10. Condition and Temporal'!$B$6:$C$103,2,FALSE))</f>
        <v/>
      </c>
      <c r="X17" s="580" t="str">
        <f>IF(W17="","",VLOOKUP(W17,'11. Lists'!$F$47:$G$51,2,FALSE))</f>
        <v/>
      </c>
      <c r="Y17" s="534"/>
      <c r="Z17" s="534"/>
      <c r="AA17" s="534"/>
      <c r="AB17" s="579" t="str">
        <f t="shared" si="3"/>
        <v/>
      </c>
      <c r="AC17" s="581" t="str">
        <f>IF(AB17="","",VLOOKUP(AB17,'11. Lists'!$F$36:$H$38,2,FALSE))</f>
        <v/>
      </c>
      <c r="AD17" s="580" t="str">
        <f>IF(AB17="","",VLOOKUP(AB17,'11. Lists'!$F$36:$H$38,3,FALSE))</f>
        <v/>
      </c>
      <c r="AE17" s="778" t="str">
        <f t="shared" si="4"/>
        <v/>
      </c>
      <c r="AF17" s="779" t="str">
        <f t="shared" si="5"/>
        <v/>
      </c>
      <c r="AG17" s="582" t="str">
        <f t="shared" si="6"/>
        <v/>
      </c>
      <c r="AH17" s="989" t="str">
        <f>IF(T17="","",VLOOKUP(T17,'11. Lists'!$B$47:$D$49,3,FALSE))</f>
        <v/>
      </c>
      <c r="AI17" s="1023" t="str">
        <f>IF(D17="","",VLOOKUP(D17,'10. Condition and Temporal'!$B$6:$L$103,4,FALSE))</f>
        <v/>
      </c>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c r="CJ17" s="520"/>
      <c r="CK17" s="520"/>
      <c r="CL17" s="520"/>
      <c r="CM17" s="520"/>
      <c r="CN17" s="520"/>
      <c r="CO17" s="520"/>
      <c r="CP17" s="520"/>
      <c r="CQ17" s="520"/>
      <c r="CR17" s="520"/>
      <c r="CS17" s="520"/>
      <c r="CT17" s="520"/>
      <c r="CU17" s="520"/>
      <c r="CV17" s="520"/>
      <c r="CW17" s="520"/>
      <c r="CX17" s="520"/>
      <c r="CY17" s="520"/>
      <c r="CZ17" s="520"/>
      <c r="DA17" s="520"/>
      <c r="DB17" s="520"/>
      <c r="DC17" s="520"/>
      <c r="DD17" s="520"/>
      <c r="DE17" s="520"/>
      <c r="DF17" s="520"/>
      <c r="DG17" s="520"/>
      <c r="DH17" s="520"/>
      <c r="DI17" s="520"/>
      <c r="DJ17" s="520"/>
      <c r="DK17" s="520"/>
      <c r="DL17" s="520"/>
      <c r="DM17" s="520"/>
      <c r="DN17" s="520"/>
      <c r="DO17" s="520"/>
      <c r="DP17" s="520"/>
      <c r="DQ17" s="520"/>
      <c r="DR17" s="520"/>
      <c r="DS17" s="520"/>
      <c r="DT17" s="520"/>
      <c r="DU17" s="520"/>
      <c r="DV17" s="520"/>
      <c r="DW17" s="520"/>
      <c r="DX17" s="520"/>
    </row>
    <row r="18" spans="1:128" ht="15.6" customHeight="1" x14ac:dyDescent="0.25">
      <c r="A18" s="520"/>
      <c r="B18" s="744">
        <v>8</v>
      </c>
      <c r="C18" s="738"/>
      <c r="D18" s="361"/>
      <c r="E18" s="360"/>
      <c r="F18" s="366"/>
      <c r="G18" s="365"/>
      <c r="H18" s="364"/>
      <c r="I18" s="785"/>
      <c r="J18" s="786"/>
      <c r="K18" s="787"/>
      <c r="L18" s="781" t="str">
        <f t="shared" si="0"/>
        <v/>
      </c>
      <c r="M18" s="781" t="str">
        <f t="shared" si="1"/>
        <v/>
      </c>
      <c r="N18" s="836" t="str">
        <f t="shared" si="2"/>
        <v/>
      </c>
      <c r="O18" s="554"/>
      <c r="P18" s="499"/>
      <c r="Q18" s="520"/>
      <c r="R18" s="410"/>
      <c r="S18" s="520"/>
      <c r="T18" s="363" t="str">
        <f>IF(C18="","",VLOOKUP(D18,'9. All Habitats + Multipliers'!$C$4:$K$102,5,FALSE))</f>
        <v/>
      </c>
      <c r="U18" s="362"/>
      <c r="V18" s="580" t="str">
        <f>IF(T18="","",VLOOKUP(T18,'11. Lists'!$B$47:$D$49,2,FALSE))</f>
        <v/>
      </c>
      <c r="W18" s="669" t="str">
        <f>IF(C18="","",VLOOKUP(D18,'10. Condition and Temporal'!$B$6:$C$103,2,FALSE))</f>
        <v/>
      </c>
      <c r="X18" s="580" t="str">
        <f>IF(W18="","",VLOOKUP(W18,'11. Lists'!$F$47:$G$51,2,FALSE))</f>
        <v/>
      </c>
      <c r="Y18" s="534"/>
      <c r="Z18" s="534"/>
      <c r="AA18" s="534"/>
      <c r="AB18" s="579" t="str">
        <f t="shared" si="3"/>
        <v/>
      </c>
      <c r="AC18" s="581" t="str">
        <f>IF(AB18="","",VLOOKUP(AB18,'11. Lists'!$F$36:$H$38,2,FALSE))</f>
        <v/>
      </c>
      <c r="AD18" s="580" t="str">
        <f>IF(AB18="","",VLOOKUP(AB18,'11. Lists'!$F$36:$H$38,3,FALSE))</f>
        <v/>
      </c>
      <c r="AE18" s="778" t="str">
        <f t="shared" si="4"/>
        <v/>
      </c>
      <c r="AF18" s="779" t="str">
        <f t="shared" si="5"/>
        <v/>
      </c>
      <c r="AG18" s="582" t="str">
        <f t="shared" si="6"/>
        <v/>
      </c>
      <c r="AH18" s="989" t="str">
        <f>IF(T18="","",VLOOKUP(T18,'11. Lists'!$B$47:$D$49,3,FALSE))</f>
        <v/>
      </c>
      <c r="AI18" s="1023" t="str">
        <f>IF(D18="","",VLOOKUP(D18,'10. Condition and Temporal'!$B$6:$L$103,4,FALSE))</f>
        <v/>
      </c>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520"/>
      <c r="CS18" s="520"/>
      <c r="CT18" s="520"/>
      <c r="CU18" s="520"/>
      <c r="CV18" s="520"/>
      <c r="CW18" s="520"/>
      <c r="CX18" s="520"/>
      <c r="CY18" s="520"/>
      <c r="CZ18" s="520"/>
      <c r="DA18" s="520"/>
      <c r="DB18" s="520"/>
      <c r="DC18" s="520"/>
      <c r="DD18" s="520"/>
      <c r="DE18" s="520"/>
      <c r="DF18" s="520"/>
      <c r="DG18" s="520"/>
      <c r="DH18" s="520"/>
      <c r="DI18" s="520"/>
      <c r="DJ18" s="520"/>
      <c r="DK18" s="520"/>
      <c r="DL18" s="520"/>
      <c r="DM18" s="520"/>
      <c r="DN18" s="520"/>
      <c r="DO18" s="520"/>
      <c r="DP18" s="520"/>
      <c r="DQ18" s="520"/>
      <c r="DR18" s="520"/>
      <c r="DS18" s="520"/>
      <c r="DT18" s="520"/>
      <c r="DU18" s="520"/>
      <c r="DV18" s="520"/>
      <c r="DW18" s="520"/>
      <c r="DX18" s="520"/>
    </row>
    <row r="19" spans="1:128" ht="15.6" customHeight="1" x14ac:dyDescent="0.25">
      <c r="A19" s="520"/>
      <c r="B19" s="744">
        <v>9</v>
      </c>
      <c r="C19" s="738"/>
      <c r="D19" s="361"/>
      <c r="E19" s="360"/>
      <c r="F19" s="366"/>
      <c r="G19" s="365"/>
      <c r="H19" s="364"/>
      <c r="I19" s="785"/>
      <c r="J19" s="786"/>
      <c r="K19" s="787"/>
      <c r="L19" s="781" t="str">
        <f t="shared" si="0"/>
        <v/>
      </c>
      <c r="M19" s="781" t="str">
        <f t="shared" si="1"/>
        <v/>
      </c>
      <c r="N19" s="836" t="str">
        <f t="shared" si="2"/>
        <v/>
      </c>
      <c r="O19" s="554"/>
      <c r="P19" s="499"/>
      <c r="Q19" s="520"/>
      <c r="R19" s="410"/>
      <c r="S19" s="520"/>
      <c r="T19" s="363" t="str">
        <f>IF(C19="","",VLOOKUP(D19,'9. All Habitats + Multipliers'!$C$4:$K$102,5,FALSE))</f>
        <v/>
      </c>
      <c r="U19" s="362"/>
      <c r="V19" s="580" t="str">
        <f>IF(T19="","",VLOOKUP(T19,'11. Lists'!$B$47:$D$49,2,FALSE))</f>
        <v/>
      </c>
      <c r="W19" s="669" t="str">
        <f>IF(C19="","",VLOOKUP(D19,'10. Condition and Temporal'!$B$6:$C$103,2,FALSE))</f>
        <v/>
      </c>
      <c r="X19" s="580" t="str">
        <f>IF(W19="","",VLOOKUP(W19,'11. Lists'!$F$47:$G$51,2,FALSE))</f>
        <v/>
      </c>
      <c r="Y19" s="534"/>
      <c r="Z19" s="534"/>
      <c r="AA19" s="534"/>
      <c r="AB19" s="579" t="str">
        <f t="shared" si="3"/>
        <v/>
      </c>
      <c r="AC19" s="581" t="str">
        <f>IF(AB19="","",VLOOKUP(AB19,'11. Lists'!$F$36:$H$38,2,FALSE))</f>
        <v/>
      </c>
      <c r="AD19" s="580" t="str">
        <f>IF(AB19="","",VLOOKUP(AB19,'11. Lists'!$F$36:$H$38,3,FALSE))</f>
        <v/>
      </c>
      <c r="AE19" s="778" t="str">
        <f t="shared" si="4"/>
        <v/>
      </c>
      <c r="AF19" s="779" t="str">
        <f t="shared" si="5"/>
        <v/>
      </c>
      <c r="AG19" s="582" t="str">
        <f t="shared" si="6"/>
        <v/>
      </c>
      <c r="AH19" s="989" t="str">
        <f>IF(T19="","",VLOOKUP(T19,'11. Lists'!$B$47:$D$49,3,FALSE))</f>
        <v/>
      </c>
      <c r="AI19" s="1023" t="str">
        <f>IF(D19="","",VLOOKUP(D19,'10. Condition and Temporal'!$B$6:$L$103,4,FALSE))</f>
        <v/>
      </c>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520"/>
      <c r="BW19" s="520"/>
      <c r="BX19" s="520"/>
      <c r="BY19" s="520"/>
      <c r="BZ19" s="520"/>
      <c r="CA19" s="520"/>
      <c r="CB19" s="520"/>
      <c r="CC19" s="520"/>
      <c r="CD19" s="520"/>
      <c r="CE19" s="520"/>
      <c r="CF19" s="520"/>
      <c r="CG19" s="520"/>
      <c r="CH19" s="520"/>
      <c r="CI19" s="520"/>
      <c r="CJ19" s="520"/>
      <c r="CK19" s="520"/>
      <c r="CL19" s="520"/>
      <c r="CM19" s="520"/>
      <c r="CN19" s="520"/>
      <c r="CO19" s="520"/>
      <c r="CP19" s="520"/>
      <c r="CQ19" s="520"/>
      <c r="CR19" s="520"/>
      <c r="CS19" s="520"/>
      <c r="CT19" s="520"/>
      <c r="CU19" s="520"/>
      <c r="CV19" s="520"/>
      <c r="CW19" s="520"/>
      <c r="CX19" s="520"/>
      <c r="CY19" s="520"/>
      <c r="CZ19" s="520"/>
      <c r="DA19" s="520"/>
      <c r="DB19" s="520"/>
      <c r="DC19" s="520"/>
      <c r="DD19" s="520"/>
      <c r="DE19" s="520"/>
      <c r="DF19" s="520"/>
      <c r="DG19" s="520"/>
      <c r="DH19" s="520"/>
      <c r="DI19" s="520"/>
      <c r="DJ19" s="520"/>
      <c r="DK19" s="520"/>
      <c r="DL19" s="520"/>
      <c r="DM19" s="520"/>
      <c r="DN19" s="520"/>
      <c r="DO19" s="520"/>
      <c r="DP19" s="520"/>
      <c r="DQ19" s="520"/>
      <c r="DR19" s="520"/>
      <c r="DS19" s="520"/>
      <c r="DT19" s="520"/>
      <c r="DU19" s="520"/>
      <c r="DV19" s="520"/>
      <c r="DW19" s="520"/>
      <c r="DX19" s="520"/>
    </row>
    <row r="20" spans="1:128" ht="15.6" customHeight="1" x14ac:dyDescent="0.25">
      <c r="A20" s="520"/>
      <c r="B20" s="744">
        <v>10</v>
      </c>
      <c r="C20" s="738"/>
      <c r="D20" s="361"/>
      <c r="E20" s="360"/>
      <c r="F20" s="366"/>
      <c r="G20" s="365"/>
      <c r="H20" s="364"/>
      <c r="I20" s="785"/>
      <c r="J20" s="786"/>
      <c r="K20" s="787"/>
      <c r="L20" s="781" t="str">
        <f t="shared" si="0"/>
        <v/>
      </c>
      <c r="M20" s="781" t="str">
        <f t="shared" si="1"/>
        <v/>
      </c>
      <c r="N20" s="836" t="str">
        <f t="shared" si="2"/>
        <v/>
      </c>
      <c r="O20" s="555"/>
      <c r="P20" s="504"/>
      <c r="Q20" s="520"/>
      <c r="R20" s="410"/>
      <c r="S20" s="520"/>
      <c r="T20" s="363" t="str">
        <f>IF(C20="","",VLOOKUP(D20,'9. All Habitats + Multipliers'!$C$4:$K$102,5,FALSE))</f>
        <v/>
      </c>
      <c r="U20" s="362"/>
      <c r="V20" s="580" t="str">
        <f>IF(T20="","",VLOOKUP(T20,'11. Lists'!$B$47:$D$49,2,FALSE))</f>
        <v/>
      </c>
      <c r="W20" s="669" t="str">
        <f>IF(C20="","",VLOOKUP(D20,'10. Condition and Temporal'!$B$6:$C$103,2,FALSE))</f>
        <v/>
      </c>
      <c r="X20" s="580" t="str">
        <f>IF(W20="","",VLOOKUP(W20,'11. Lists'!$F$47:$G$51,2,FALSE))</f>
        <v/>
      </c>
      <c r="Y20" s="534"/>
      <c r="Z20" s="534"/>
      <c r="AA20" s="534"/>
      <c r="AB20" s="579" t="str">
        <f t="shared" si="3"/>
        <v/>
      </c>
      <c r="AC20" s="581" t="str">
        <f>IF(AB20="","",VLOOKUP(AB20,'11. Lists'!$F$36:$H$38,2,FALSE))</f>
        <v/>
      </c>
      <c r="AD20" s="580" t="str">
        <f>IF(AB20="","",VLOOKUP(AB20,'11. Lists'!$F$36:$H$38,3,FALSE))</f>
        <v/>
      </c>
      <c r="AE20" s="778" t="str">
        <f t="shared" si="4"/>
        <v/>
      </c>
      <c r="AF20" s="779" t="str">
        <f t="shared" si="5"/>
        <v/>
      </c>
      <c r="AG20" s="582" t="str">
        <f t="shared" si="6"/>
        <v/>
      </c>
      <c r="AH20" s="989" t="str">
        <f>IF(T20="","",VLOOKUP(T20,'11. Lists'!$B$47:$D$49,3,FALSE))</f>
        <v/>
      </c>
      <c r="AI20" s="1023" t="str">
        <f>IF(D20="","",VLOOKUP(D20,'10. Condition and Temporal'!$B$6:$L$103,4,FALSE))</f>
        <v/>
      </c>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row>
    <row r="21" spans="1:128" ht="15.6" customHeight="1" x14ac:dyDescent="0.25">
      <c r="A21" s="520"/>
      <c r="B21" s="744">
        <v>11</v>
      </c>
      <c r="C21" s="738"/>
      <c r="D21" s="361"/>
      <c r="E21" s="360"/>
      <c r="F21" s="366"/>
      <c r="G21" s="365"/>
      <c r="H21" s="364"/>
      <c r="I21" s="785"/>
      <c r="J21" s="786"/>
      <c r="K21" s="787"/>
      <c r="L21" s="781" t="str">
        <f t="shared" si="0"/>
        <v/>
      </c>
      <c r="M21" s="781" t="str">
        <f t="shared" si="1"/>
        <v/>
      </c>
      <c r="N21" s="836" t="str">
        <f t="shared" si="2"/>
        <v/>
      </c>
      <c r="O21" s="555"/>
      <c r="P21" s="504"/>
      <c r="Q21" s="520"/>
      <c r="R21" s="410"/>
      <c r="S21" s="520"/>
      <c r="T21" s="363" t="str">
        <f>IF(C21="","",VLOOKUP(D21,'9. All Habitats + Multipliers'!$C$4:$K$102,5,FALSE))</f>
        <v/>
      </c>
      <c r="U21" s="362"/>
      <c r="V21" s="580" t="str">
        <f>IF(T21="","",VLOOKUP(T21,'11. Lists'!$B$47:$D$49,2,FALSE))</f>
        <v/>
      </c>
      <c r="W21" s="669" t="str">
        <f>IF(C21="","",VLOOKUP(D21,'10. Condition and Temporal'!$B$6:$C$103,2,FALSE))</f>
        <v/>
      </c>
      <c r="X21" s="580" t="str">
        <f>IF(W21="","",VLOOKUP(W21,'11. Lists'!$F$47:$G$51,2,FALSE))</f>
        <v/>
      </c>
      <c r="Y21" s="534"/>
      <c r="Z21" s="534"/>
      <c r="AA21" s="534"/>
      <c r="AB21" s="579" t="str">
        <f t="shared" si="3"/>
        <v/>
      </c>
      <c r="AC21" s="581" t="str">
        <f>IF(AB21="","",VLOOKUP(AB21,'11. Lists'!$F$36:$H$38,2,FALSE))</f>
        <v/>
      </c>
      <c r="AD21" s="580" t="str">
        <f>IF(AB21="","",VLOOKUP(AB21,'11. Lists'!$F$36:$H$38,3,FALSE))</f>
        <v/>
      </c>
      <c r="AE21" s="778" t="str">
        <f t="shared" si="4"/>
        <v/>
      </c>
      <c r="AF21" s="779" t="str">
        <f t="shared" si="5"/>
        <v/>
      </c>
      <c r="AG21" s="582" t="str">
        <f t="shared" si="6"/>
        <v/>
      </c>
      <c r="AH21" s="989" t="str">
        <f>IF(T21="","",VLOOKUP(T21,'11. Lists'!$B$47:$D$49,3,FALSE))</f>
        <v/>
      </c>
      <c r="AI21" s="1023" t="str">
        <f>IF(D21="","",VLOOKUP(D21,'10. Condition and Temporal'!$B$6:$L$103,4,FALSE))</f>
        <v/>
      </c>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0"/>
      <c r="CJ21" s="520"/>
      <c r="CK21" s="520"/>
      <c r="CL21" s="520"/>
      <c r="CM21" s="520"/>
      <c r="CN21" s="520"/>
      <c r="CO21" s="520"/>
      <c r="CP21" s="520"/>
      <c r="CQ21" s="520"/>
      <c r="CR21" s="520"/>
      <c r="CS21" s="520"/>
      <c r="CT21" s="520"/>
      <c r="CU21" s="520"/>
      <c r="CV21" s="520"/>
      <c r="CW21" s="520"/>
      <c r="CX21" s="520"/>
      <c r="CY21" s="520"/>
      <c r="CZ21" s="520"/>
      <c r="DA21" s="520"/>
      <c r="DB21" s="520"/>
      <c r="DC21" s="520"/>
      <c r="DD21" s="520"/>
      <c r="DE21" s="520"/>
      <c r="DF21" s="520"/>
      <c r="DG21" s="520"/>
      <c r="DH21" s="520"/>
      <c r="DI21" s="520"/>
      <c r="DJ21" s="520"/>
      <c r="DK21" s="520"/>
      <c r="DL21" s="520"/>
      <c r="DM21" s="520"/>
      <c r="DN21" s="520"/>
      <c r="DO21" s="520"/>
      <c r="DP21" s="520"/>
      <c r="DQ21" s="520"/>
      <c r="DR21" s="520"/>
      <c r="DS21" s="520"/>
      <c r="DT21" s="520"/>
      <c r="DU21" s="520"/>
      <c r="DV21" s="520"/>
      <c r="DW21" s="520"/>
      <c r="DX21" s="520"/>
    </row>
    <row r="22" spans="1:128" ht="15.6" customHeight="1" x14ac:dyDescent="0.25">
      <c r="A22" s="520"/>
      <c r="B22" s="744">
        <v>12</v>
      </c>
      <c r="C22" s="738"/>
      <c r="D22" s="361"/>
      <c r="E22" s="360"/>
      <c r="F22" s="366"/>
      <c r="G22" s="365"/>
      <c r="H22" s="364"/>
      <c r="I22" s="785"/>
      <c r="J22" s="786"/>
      <c r="K22" s="787"/>
      <c r="L22" s="781" t="str">
        <f t="shared" si="0"/>
        <v/>
      </c>
      <c r="M22" s="781" t="str">
        <f t="shared" si="1"/>
        <v/>
      </c>
      <c r="N22" s="836" t="str">
        <f t="shared" si="2"/>
        <v/>
      </c>
      <c r="O22" s="555"/>
      <c r="P22" s="504"/>
      <c r="Q22" s="520"/>
      <c r="R22" s="410"/>
      <c r="S22" s="520"/>
      <c r="T22" s="363" t="str">
        <f>IF(C22="","",VLOOKUP(D22,'9. All Habitats + Multipliers'!$C$4:$K$102,5,FALSE))</f>
        <v/>
      </c>
      <c r="U22" s="362"/>
      <c r="V22" s="580" t="str">
        <f>IF(T22="","",VLOOKUP(T22,'11. Lists'!$B$47:$D$49,2,FALSE))</f>
        <v/>
      </c>
      <c r="W22" s="669" t="str">
        <f>IF(C22="","",VLOOKUP(D22,'10. Condition and Temporal'!$B$6:$C$103,2,FALSE))</f>
        <v/>
      </c>
      <c r="X22" s="580" t="str">
        <f>IF(W22="","",VLOOKUP(W22,'11. Lists'!$F$47:$G$51,2,FALSE))</f>
        <v/>
      </c>
      <c r="Y22" s="534"/>
      <c r="Z22" s="534"/>
      <c r="AA22" s="534"/>
      <c r="AB22" s="579" t="str">
        <f t="shared" si="3"/>
        <v/>
      </c>
      <c r="AC22" s="581" t="str">
        <f>IF(AB22="","",VLOOKUP(AB22,'11. Lists'!$F$36:$H$38,2,FALSE))</f>
        <v/>
      </c>
      <c r="AD22" s="580" t="str">
        <f>IF(AB22="","",VLOOKUP(AB22,'11. Lists'!$F$36:$H$38,3,FALSE))</f>
        <v/>
      </c>
      <c r="AE22" s="778" t="str">
        <f t="shared" si="4"/>
        <v/>
      </c>
      <c r="AF22" s="779" t="str">
        <f t="shared" si="5"/>
        <v/>
      </c>
      <c r="AG22" s="582" t="str">
        <f t="shared" si="6"/>
        <v/>
      </c>
      <c r="AH22" s="989" t="str">
        <f>IF(T22="","",VLOOKUP(T22,'11. Lists'!$B$47:$D$49,3,FALSE))</f>
        <v/>
      </c>
      <c r="AI22" s="1023" t="str">
        <f>IF(D22="","",VLOOKUP(D22,'10. Condition and Temporal'!$B$6:$L$103,4,FALSE))</f>
        <v/>
      </c>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row>
    <row r="23" spans="1:128" ht="15.6" customHeight="1" x14ac:dyDescent="0.25">
      <c r="A23" s="520"/>
      <c r="B23" s="744">
        <v>13</v>
      </c>
      <c r="C23" s="739"/>
      <c r="D23" s="361"/>
      <c r="E23" s="360"/>
      <c r="F23" s="366"/>
      <c r="G23" s="365"/>
      <c r="H23" s="364"/>
      <c r="I23" s="785"/>
      <c r="J23" s="786"/>
      <c r="K23" s="787"/>
      <c r="L23" s="781" t="str">
        <f t="shared" si="0"/>
        <v/>
      </c>
      <c r="M23" s="781" t="str">
        <f t="shared" si="1"/>
        <v/>
      </c>
      <c r="N23" s="836" t="str">
        <f t="shared" si="2"/>
        <v/>
      </c>
      <c r="O23" s="555"/>
      <c r="P23" s="504"/>
      <c r="Q23" s="520"/>
      <c r="R23" s="410"/>
      <c r="S23" s="520"/>
      <c r="T23" s="363" t="str">
        <f>IF(C23="","",VLOOKUP(D23,'9. All Habitats + Multipliers'!$C$4:$K$102,5,FALSE))</f>
        <v/>
      </c>
      <c r="U23" s="362"/>
      <c r="V23" s="580" t="str">
        <f>IF(T23="","",VLOOKUP(T23,'11. Lists'!$B$47:$D$49,2,FALSE))</f>
        <v/>
      </c>
      <c r="W23" s="669" t="str">
        <f>IF(C23="","",VLOOKUP(D23,'10. Condition and Temporal'!$B$6:$C$103,2,FALSE))</f>
        <v/>
      </c>
      <c r="X23" s="580" t="str">
        <f>IF(W23="","",VLOOKUP(W23,'11. Lists'!$F$47:$G$51,2,FALSE))</f>
        <v/>
      </c>
      <c r="Y23" s="534"/>
      <c r="Z23" s="534"/>
      <c r="AA23" s="534"/>
      <c r="AB23" s="579" t="str">
        <f t="shared" si="3"/>
        <v/>
      </c>
      <c r="AC23" s="581" t="str">
        <f>IF(AB23="","",VLOOKUP(AB23,'11. Lists'!$F$36:$H$38,2,FALSE))</f>
        <v/>
      </c>
      <c r="AD23" s="580" t="str">
        <f>IF(AB23="","",VLOOKUP(AB23,'11. Lists'!$F$36:$H$38,3,FALSE))</f>
        <v/>
      </c>
      <c r="AE23" s="778" t="str">
        <f t="shared" si="4"/>
        <v/>
      </c>
      <c r="AF23" s="779" t="str">
        <f t="shared" si="5"/>
        <v/>
      </c>
      <c r="AG23" s="582" t="str">
        <f t="shared" si="6"/>
        <v/>
      </c>
      <c r="AH23" s="989" t="str">
        <f>IF(T23="","",VLOOKUP(T23,'11. Lists'!$B$47:$D$49,3,FALSE))</f>
        <v/>
      </c>
      <c r="AI23" s="1023" t="str">
        <f>IF(D23="","",VLOOKUP(D23,'10. Condition and Temporal'!$B$6:$L$103,4,FALSE))</f>
        <v/>
      </c>
      <c r="AJ23" s="520"/>
      <c r="AK23" s="520"/>
      <c r="AL23" s="520"/>
      <c r="AM23" s="520"/>
      <c r="AN23" s="520"/>
      <c r="AO23" s="520"/>
      <c r="AP23" s="520"/>
      <c r="AQ23" s="520"/>
      <c r="AR23" s="520"/>
      <c r="AS23" s="520"/>
      <c r="AT23" s="520"/>
      <c r="AU23" s="520"/>
      <c r="AV23" s="520"/>
      <c r="AW23" s="520"/>
      <c r="AX23" s="520"/>
      <c r="AY23" s="520"/>
      <c r="AZ23" s="520"/>
      <c r="BA23" s="520"/>
      <c r="BB23" s="520"/>
      <c r="BC23" s="520"/>
      <c r="BD23" s="520"/>
      <c r="BE23" s="520"/>
      <c r="BF23" s="520"/>
      <c r="BG23" s="520"/>
      <c r="BH23" s="520"/>
      <c r="BI23" s="520"/>
      <c r="BJ23" s="520"/>
      <c r="BK23" s="520"/>
      <c r="BL23" s="520"/>
      <c r="BM23" s="520"/>
      <c r="BN23" s="520"/>
      <c r="BO23" s="520"/>
      <c r="BP23" s="520"/>
      <c r="BQ23" s="520"/>
      <c r="BR23" s="520"/>
      <c r="BS23" s="520"/>
      <c r="BT23" s="520"/>
      <c r="BU23" s="520"/>
      <c r="BV23" s="520"/>
      <c r="BW23" s="520"/>
      <c r="BX23" s="520"/>
      <c r="BY23" s="520"/>
      <c r="BZ23" s="520"/>
      <c r="CA23" s="520"/>
      <c r="CB23" s="520"/>
      <c r="CC23" s="520"/>
      <c r="CD23" s="520"/>
      <c r="CE23" s="520"/>
      <c r="CF23" s="520"/>
      <c r="CG23" s="520"/>
      <c r="CH23" s="520"/>
      <c r="CI23" s="520"/>
      <c r="CJ23" s="520"/>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c r="DV23" s="520"/>
      <c r="DW23" s="520"/>
      <c r="DX23" s="520"/>
    </row>
    <row r="24" spans="1:128" ht="15.6" customHeight="1" x14ac:dyDescent="0.25">
      <c r="A24" s="520"/>
      <c r="B24" s="744">
        <v>14</v>
      </c>
      <c r="C24" s="739"/>
      <c r="D24" s="361"/>
      <c r="E24" s="360"/>
      <c r="F24" s="366"/>
      <c r="G24" s="365"/>
      <c r="H24" s="364"/>
      <c r="I24" s="785"/>
      <c r="J24" s="786"/>
      <c r="K24" s="787"/>
      <c r="L24" s="781" t="str">
        <f t="shared" si="0"/>
        <v/>
      </c>
      <c r="M24" s="781" t="str">
        <f t="shared" si="1"/>
        <v/>
      </c>
      <c r="N24" s="836" t="str">
        <f t="shared" si="2"/>
        <v/>
      </c>
      <c r="O24" s="555"/>
      <c r="P24" s="504"/>
      <c r="Q24" s="520"/>
      <c r="R24" s="410"/>
      <c r="S24" s="520"/>
      <c r="T24" s="363" t="str">
        <f>IF(C24="","",VLOOKUP(D24,'9. All Habitats + Multipliers'!$C$4:$K$102,5,FALSE))</f>
        <v/>
      </c>
      <c r="U24" s="362"/>
      <c r="V24" s="580" t="str">
        <f>IF(T24="","",VLOOKUP(T24,'11. Lists'!$B$47:$D$49,2,FALSE))</f>
        <v/>
      </c>
      <c r="W24" s="669" t="str">
        <f>IF(C24="","",VLOOKUP(D24,'10. Condition and Temporal'!$B$6:$C$103,2,FALSE))</f>
        <v/>
      </c>
      <c r="X24" s="580" t="str">
        <f>IF(W24="","",VLOOKUP(W24,'11. Lists'!$F$47:$G$51,2,FALSE))</f>
        <v/>
      </c>
      <c r="Y24" s="534"/>
      <c r="Z24" s="534"/>
      <c r="AA24" s="534"/>
      <c r="AB24" s="579" t="str">
        <f t="shared" si="3"/>
        <v/>
      </c>
      <c r="AC24" s="581" t="str">
        <f>IF(AB24="","",VLOOKUP(AB24,'11. Lists'!$F$36:$H$38,2,FALSE))</f>
        <v/>
      </c>
      <c r="AD24" s="580" t="str">
        <f>IF(AB24="","",VLOOKUP(AB24,'11. Lists'!$F$36:$H$38,3,FALSE))</f>
        <v/>
      </c>
      <c r="AE24" s="778" t="str">
        <f t="shared" si="4"/>
        <v/>
      </c>
      <c r="AF24" s="779" t="str">
        <f t="shared" si="5"/>
        <v/>
      </c>
      <c r="AG24" s="582" t="str">
        <f t="shared" si="6"/>
        <v/>
      </c>
      <c r="AH24" s="989" t="str">
        <f>IF(T24="","",VLOOKUP(T24,'11. Lists'!$B$47:$D$49,3,FALSE))</f>
        <v/>
      </c>
      <c r="AI24" s="1023" t="str">
        <f>IF(D24="","",VLOOKUP(D24,'10. Condition and Temporal'!$B$6:$L$103,4,FALSE))</f>
        <v/>
      </c>
      <c r="AJ24" s="520"/>
      <c r="AK24" s="520"/>
      <c r="AL24" s="520"/>
      <c r="AM24" s="520"/>
      <c r="AN24" s="520"/>
      <c r="AO24" s="520"/>
      <c r="AP24" s="520"/>
      <c r="AQ24" s="520"/>
      <c r="AR24" s="520"/>
      <c r="AS24" s="520"/>
      <c r="AT24" s="520"/>
      <c r="AU24" s="520"/>
      <c r="AV24" s="520"/>
      <c r="AW24" s="520"/>
      <c r="AX24" s="520"/>
      <c r="AY24" s="520"/>
      <c r="AZ24" s="520"/>
      <c r="BA24" s="520"/>
      <c r="BB24" s="520"/>
      <c r="BC24" s="520"/>
      <c r="BD24" s="520"/>
      <c r="BE24" s="520"/>
      <c r="BF24" s="520"/>
      <c r="BG24" s="520"/>
      <c r="BH24" s="520"/>
      <c r="BI24" s="520"/>
      <c r="BJ24" s="520"/>
      <c r="BK24" s="520"/>
      <c r="BL24" s="520"/>
      <c r="BM24" s="520"/>
      <c r="BN24" s="520"/>
      <c r="BO24" s="520"/>
      <c r="BP24" s="520"/>
      <c r="BQ24" s="520"/>
      <c r="BR24" s="520"/>
      <c r="BS24" s="520"/>
      <c r="BT24" s="520"/>
      <c r="BU24" s="520"/>
      <c r="BV24" s="520"/>
      <c r="BW24" s="520"/>
      <c r="BX24" s="520"/>
      <c r="BY24" s="520"/>
      <c r="BZ24" s="520"/>
      <c r="CA24" s="520"/>
      <c r="CB24" s="520"/>
      <c r="CC24" s="520"/>
      <c r="CD24" s="520"/>
      <c r="CE24" s="520"/>
      <c r="CF24" s="520"/>
      <c r="CG24" s="520"/>
      <c r="CH24" s="520"/>
      <c r="CI24" s="520"/>
      <c r="CJ24" s="520"/>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c r="DV24" s="520"/>
      <c r="DW24" s="520"/>
      <c r="DX24" s="520"/>
    </row>
    <row r="25" spans="1:128" ht="15.6" customHeight="1" x14ac:dyDescent="0.25">
      <c r="A25" s="520"/>
      <c r="B25" s="744">
        <v>15</v>
      </c>
      <c r="C25" s="739"/>
      <c r="D25" s="361"/>
      <c r="E25" s="360"/>
      <c r="F25" s="366"/>
      <c r="G25" s="365"/>
      <c r="H25" s="364"/>
      <c r="I25" s="785"/>
      <c r="J25" s="786"/>
      <c r="K25" s="787"/>
      <c r="L25" s="781" t="str">
        <f t="shared" si="0"/>
        <v/>
      </c>
      <c r="M25" s="781" t="str">
        <f t="shared" si="1"/>
        <v/>
      </c>
      <c r="N25" s="836" t="str">
        <f t="shared" si="2"/>
        <v/>
      </c>
      <c r="O25" s="555"/>
      <c r="P25" s="504"/>
      <c r="Q25" s="520"/>
      <c r="R25" s="410"/>
      <c r="S25" s="520"/>
      <c r="T25" s="363" t="str">
        <f>IF(C25="","",VLOOKUP(D25,'9. All Habitats + Multipliers'!$C$4:$K$102,5,FALSE))</f>
        <v/>
      </c>
      <c r="U25" s="362"/>
      <c r="V25" s="580" t="str">
        <f>IF(T25="","",VLOOKUP(T25,'11. Lists'!$B$47:$D$49,2,FALSE))</f>
        <v/>
      </c>
      <c r="W25" s="669" t="str">
        <f>IF(C25="","",VLOOKUP(D25,'10. Condition and Temporal'!$B$6:$C$103,2,FALSE))</f>
        <v/>
      </c>
      <c r="X25" s="580" t="str">
        <f>IF(W25="","",VLOOKUP(W25,'11. Lists'!$F$47:$G$51,2,FALSE))</f>
        <v/>
      </c>
      <c r="Y25" s="534"/>
      <c r="Z25" s="534"/>
      <c r="AA25" s="534"/>
      <c r="AB25" s="579" t="str">
        <f t="shared" si="3"/>
        <v/>
      </c>
      <c r="AC25" s="581" t="str">
        <f>IF(AB25="","",VLOOKUP(AB25,'11. Lists'!$F$36:$H$38,2,FALSE))</f>
        <v/>
      </c>
      <c r="AD25" s="580" t="str">
        <f>IF(AB25="","",VLOOKUP(AB25,'11. Lists'!$F$36:$H$38,3,FALSE))</f>
        <v/>
      </c>
      <c r="AE25" s="778" t="str">
        <f t="shared" si="4"/>
        <v/>
      </c>
      <c r="AF25" s="779" t="str">
        <f t="shared" si="5"/>
        <v/>
      </c>
      <c r="AG25" s="582" t="str">
        <f t="shared" si="6"/>
        <v/>
      </c>
      <c r="AH25" s="989" t="str">
        <f>IF(T25="","",VLOOKUP(T25,'11. Lists'!$B$47:$D$49,3,FALSE))</f>
        <v/>
      </c>
      <c r="AI25" s="1023" t="str">
        <f>IF(D25="","",VLOOKUP(D25,'10. Condition and Temporal'!$B$6:$L$103,4,FALSE))</f>
        <v/>
      </c>
      <c r="AJ25" s="520"/>
      <c r="AK25" s="520"/>
      <c r="AL25" s="520"/>
      <c r="AM25" s="520"/>
      <c r="AN25" s="520"/>
      <c r="AO25" s="520"/>
      <c r="AP25" s="520"/>
      <c r="AQ25" s="520"/>
      <c r="AR25" s="520"/>
      <c r="AS25" s="520"/>
      <c r="AT25" s="520"/>
      <c r="AU25" s="520"/>
      <c r="AV25" s="520"/>
      <c r="AW25" s="520"/>
      <c r="AX25" s="520"/>
      <c r="AY25" s="520"/>
      <c r="AZ25" s="520"/>
      <c r="BA25" s="520"/>
      <c r="BB25" s="520"/>
      <c r="BC25" s="520"/>
      <c r="BD25" s="520"/>
      <c r="BE25" s="520"/>
      <c r="BF25" s="520"/>
      <c r="BG25" s="520"/>
      <c r="BH25" s="520"/>
      <c r="BI25" s="520"/>
      <c r="BJ25" s="520"/>
      <c r="BK25" s="520"/>
      <c r="BL25" s="520"/>
      <c r="BM25" s="520"/>
      <c r="BN25" s="520"/>
      <c r="BO25" s="520"/>
      <c r="BP25" s="520"/>
      <c r="BQ25" s="520"/>
      <c r="BR25" s="520"/>
      <c r="BS25" s="520"/>
      <c r="BT25" s="520"/>
      <c r="BU25" s="520"/>
      <c r="BV25" s="520"/>
      <c r="BW25" s="520"/>
      <c r="BX25" s="520"/>
      <c r="BY25" s="520"/>
      <c r="BZ25" s="520"/>
      <c r="CA25" s="520"/>
      <c r="CB25" s="520"/>
      <c r="CC25" s="520"/>
      <c r="CD25" s="520"/>
      <c r="CE25" s="520"/>
      <c r="CF25" s="520"/>
      <c r="CG25" s="520"/>
      <c r="CH25" s="520"/>
      <c r="CI25" s="520"/>
      <c r="CJ25" s="520"/>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c r="DV25" s="520"/>
      <c r="DW25" s="520"/>
      <c r="DX25" s="520"/>
    </row>
    <row r="26" spans="1:128" ht="15.6" customHeight="1" x14ac:dyDescent="0.25">
      <c r="A26" s="520"/>
      <c r="B26" s="744">
        <v>16</v>
      </c>
      <c r="C26" s="739"/>
      <c r="D26" s="361"/>
      <c r="E26" s="360"/>
      <c r="F26" s="366"/>
      <c r="G26" s="365"/>
      <c r="H26" s="364"/>
      <c r="I26" s="785"/>
      <c r="J26" s="786"/>
      <c r="K26" s="787"/>
      <c r="L26" s="781" t="str">
        <f t="shared" si="0"/>
        <v/>
      </c>
      <c r="M26" s="781" t="str">
        <f t="shared" si="1"/>
        <v/>
      </c>
      <c r="N26" s="836" t="str">
        <f t="shared" si="2"/>
        <v/>
      </c>
      <c r="O26" s="555"/>
      <c r="P26" s="504"/>
      <c r="Q26" s="520"/>
      <c r="R26" s="410"/>
      <c r="S26" s="520"/>
      <c r="T26" s="363" t="str">
        <f>IF(C26="","",VLOOKUP(D26,'9. All Habitats + Multipliers'!$C$4:$K$102,5,FALSE))</f>
        <v/>
      </c>
      <c r="U26" s="362"/>
      <c r="V26" s="580" t="str">
        <f>IF(T26="","",VLOOKUP(T26,'11. Lists'!$B$47:$D$49,2,FALSE))</f>
        <v/>
      </c>
      <c r="W26" s="669" t="str">
        <f>IF(C26="","",VLOOKUP(D26,'10. Condition and Temporal'!$B$6:$C$103,2,FALSE))</f>
        <v/>
      </c>
      <c r="X26" s="580" t="str">
        <f>IF(W26="","",VLOOKUP(W26,'11. Lists'!$F$47:$G$51,2,FALSE))</f>
        <v/>
      </c>
      <c r="Y26" s="534"/>
      <c r="Z26" s="534"/>
      <c r="AA26" s="534"/>
      <c r="AB26" s="579" t="str">
        <f t="shared" si="3"/>
        <v/>
      </c>
      <c r="AC26" s="581" t="str">
        <f>IF(AB26="","",VLOOKUP(AB26,'11. Lists'!$F$36:$H$38,2,FALSE))</f>
        <v/>
      </c>
      <c r="AD26" s="580" t="str">
        <f>IF(AB26="","",VLOOKUP(AB26,'11. Lists'!$F$36:$H$38,3,FALSE))</f>
        <v/>
      </c>
      <c r="AE26" s="778" t="str">
        <f t="shared" si="4"/>
        <v/>
      </c>
      <c r="AF26" s="779" t="str">
        <f t="shared" si="5"/>
        <v/>
      </c>
      <c r="AG26" s="582" t="str">
        <f t="shared" si="6"/>
        <v/>
      </c>
      <c r="AH26" s="989" t="str">
        <f>IF(T26="","",VLOOKUP(T26,'11. Lists'!$B$47:$D$49,3,FALSE))</f>
        <v/>
      </c>
      <c r="AI26" s="1023" t="str">
        <f>IF(D26="","",VLOOKUP(D26,'10. Condition and Temporal'!$B$6:$L$103,4,FALSE))</f>
        <v/>
      </c>
      <c r="AJ26" s="520"/>
      <c r="AK26" s="520"/>
      <c r="AL26" s="520"/>
      <c r="AM26" s="520"/>
      <c r="AN26" s="520"/>
      <c r="AO26" s="520"/>
      <c r="AP26" s="520"/>
      <c r="AQ26" s="520"/>
      <c r="AR26" s="520"/>
      <c r="AS26" s="520"/>
      <c r="AT26" s="520"/>
      <c r="AU26" s="520"/>
      <c r="AV26" s="520"/>
      <c r="AW26" s="520"/>
      <c r="AX26" s="520"/>
      <c r="AY26" s="520"/>
      <c r="AZ26" s="520"/>
      <c r="BA26" s="520"/>
      <c r="BB26" s="520"/>
      <c r="BC26" s="520"/>
      <c r="BD26" s="520"/>
      <c r="BE26" s="520"/>
      <c r="BF26" s="520"/>
      <c r="BG26" s="520"/>
      <c r="BH26" s="520"/>
      <c r="BI26" s="520"/>
      <c r="BJ26" s="520"/>
      <c r="BK26" s="520"/>
      <c r="BL26" s="520"/>
      <c r="BM26" s="520"/>
      <c r="BN26" s="520"/>
      <c r="BO26" s="520"/>
      <c r="BP26" s="520"/>
      <c r="BQ26" s="520"/>
      <c r="BR26" s="520"/>
      <c r="BS26" s="520"/>
      <c r="BT26" s="520"/>
      <c r="BU26" s="520"/>
      <c r="BV26" s="520"/>
      <c r="BW26" s="520"/>
      <c r="BX26" s="520"/>
      <c r="BY26" s="520"/>
      <c r="BZ26" s="520"/>
      <c r="CA26" s="520"/>
      <c r="CB26" s="520"/>
      <c r="CC26" s="520"/>
      <c r="CD26" s="520"/>
      <c r="CE26" s="520"/>
      <c r="CF26" s="520"/>
      <c r="CG26" s="520"/>
      <c r="CH26" s="520"/>
      <c r="CI26" s="520"/>
      <c r="CJ26" s="520"/>
      <c r="CK26" s="520"/>
      <c r="CL26" s="520"/>
      <c r="CM26" s="520"/>
      <c r="CN26" s="520"/>
      <c r="CO26" s="520"/>
      <c r="CP26" s="520"/>
      <c r="CQ26" s="520"/>
      <c r="CR26" s="520"/>
      <c r="CS26" s="520"/>
      <c r="CT26" s="520"/>
      <c r="CU26" s="520"/>
      <c r="CV26" s="520"/>
      <c r="CW26" s="520"/>
      <c r="CX26" s="520"/>
      <c r="CY26" s="520"/>
      <c r="CZ26" s="520"/>
      <c r="DA26" s="520"/>
      <c r="DB26" s="520"/>
      <c r="DC26" s="520"/>
      <c r="DD26" s="520"/>
      <c r="DE26" s="520"/>
      <c r="DF26" s="520"/>
      <c r="DG26" s="520"/>
      <c r="DH26" s="520"/>
      <c r="DI26" s="520"/>
      <c r="DJ26" s="520"/>
      <c r="DK26" s="520"/>
      <c r="DL26" s="520"/>
      <c r="DM26" s="520"/>
      <c r="DN26" s="520"/>
      <c r="DO26" s="520"/>
      <c r="DP26" s="520"/>
      <c r="DQ26" s="520"/>
      <c r="DR26" s="520"/>
      <c r="DS26" s="520"/>
      <c r="DT26" s="520"/>
      <c r="DU26" s="520"/>
      <c r="DV26" s="520"/>
      <c r="DW26" s="520"/>
      <c r="DX26" s="520"/>
    </row>
    <row r="27" spans="1:128" ht="15.6" customHeight="1" x14ac:dyDescent="0.25">
      <c r="A27" s="520"/>
      <c r="B27" s="744">
        <v>17</v>
      </c>
      <c r="C27" s="739"/>
      <c r="D27" s="361"/>
      <c r="E27" s="360"/>
      <c r="F27" s="366"/>
      <c r="G27" s="365"/>
      <c r="H27" s="364"/>
      <c r="I27" s="785"/>
      <c r="J27" s="786"/>
      <c r="K27" s="787"/>
      <c r="L27" s="781" t="str">
        <f t="shared" si="0"/>
        <v/>
      </c>
      <c r="M27" s="781" t="str">
        <f t="shared" si="1"/>
        <v/>
      </c>
      <c r="N27" s="836" t="str">
        <f t="shared" si="2"/>
        <v/>
      </c>
      <c r="O27" s="555"/>
      <c r="P27" s="504"/>
      <c r="Q27" s="520"/>
      <c r="R27" s="410"/>
      <c r="S27" s="520"/>
      <c r="T27" s="363" t="str">
        <f>IF(C27="","",VLOOKUP(D27,'9. All Habitats + Multipliers'!$C$4:$K$102,5,FALSE))</f>
        <v/>
      </c>
      <c r="U27" s="362"/>
      <c r="V27" s="580" t="str">
        <f>IF(T27="","",VLOOKUP(T27,'11. Lists'!$B$47:$D$49,2,FALSE))</f>
        <v/>
      </c>
      <c r="W27" s="669" t="str">
        <f>IF(C27="","",VLOOKUP(D27,'10. Condition and Temporal'!$B$6:$C$103,2,FALSE))</f>
        <v/>
      </c>
      <c r="X27" s="580" t="str">
        <f>IF(W27="","",VLOOKUP(W27,'11. Lists'!$F$47:$G$51,2,FALSE))</f>
        <v/>
      </c>
      <c r="Y27" s="534"/>
      <c r="Z27" s="534"/>
      <c r="AA27" s="534"/>
      <c r="AB27" s="579" t="str">
        <f t="shared" si="3"/>
        <v/>
      </c>
      <c r="AC27" s="581" t="str">
        <f>IF(AB27="","",VLOOKUP(AB27,'11. Lists'!$F$36:$H$38,2,FALSE))</f>
        <v/>
      </c>
      <c r="AD27" s="580" t="str">
        <f>IF(AB27="","",VLOOKUP(AB27,'11. Lists'!$F$36:$H$38,3,FALSE))</f>
        <v/>
      </c>
      <c r="AE27" s="778" t="str">
        <f t="shared" si="4"/>
        <v/>
      </c>
      <c r="AF27" s="779" t="str">
        <f t="shared" si="5"/>
        <v/>
      </c>
      <c r="AG27" s="582" t="str">
        <f t="shared" si="6"/>
        <v/>
      </c>
      <c r="AH27" s="989" t="str">
        <f>IF(T27="","",VLOOKUP(T27,'11. Lists'!$B$47:$D$49,3,FALSE))</f>
        <v/>
      </c>
      <c r="AI27" s="1023" t="str">
        <f>IF(D27="","",VLOOKUP(D27,'10. Condition and Temporal'!$B$6:$L$103,4,FALSE))</f>
        <v/>
      </c>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c r="CJ27" s="520"/>
      <c r="CK27" s="520"/>
      <c r="CL27" s="520"/>
      <c r="CM27" s="520"/>
      <c r="CN27" s="520"/>
      <c r="CO27" s="520"/>
      <c r="CP27" s="520"/>
      <c r="CQ27" s="520"/>
      <c r="CR27" s="520"/>
      <c r="CS27" s="520"/>
      <c r="CT27" s="520"/>
      <c r="CU27" s="520"/>
      <c r="CV27" s="520"/>
      <c r="CW27" s="520"/>
      <c r="CX27" s="520"/>
      <c r="CY27" s="520"/>
      <c r="CZ27" s="520"/>
      <c r="DA27" s="520"/>
      <c r="DB27" s="520"/>
      <c r="DC27" s="520"/>
      <c r="DD27" s="520"/>
      <c r="DE27" s="520"/>
      <c r="DF27" s="520"/>
      <c r="DG27" s="520"/>
      <c r="DH27" s="520"/>
      <c r="DI27" s="520"/>
      <c r="DJ27" s="520"/>
      <c r="DK27" s="520"/>
      <c r="DL27" s="520"/>
      <c r="DM27" s="520"/>
      <c r="DN27" s="520"/>
      <c r="DO27" s="520"/>
      <c r="DP27" s="520"/>
      <c r="DQ27" s="520"/>
      <c r="DR27" s="520"/>
      <c r="DS27" s="520"/>
      <c r="DT27" s="520"/>
      <c r="DU27" s="520"/>
      <c r="DV27" s="520"/>
      <c r="DW27" s="520"/>
      <c r="DX27" s="520"/>
    </row>
    <row r="28" spans="1:128" ht="15.6" customHeight="1" x14ac:dyDescent="0.25">
      <c r="A28" s="520"/>
      <c r="B28" s="744">
        <v>18</v>
      </c>
      <c r="C28" s="739"/>
      <c r="D28" s="361"/>
      <c r="E28" s="360"/>
      <c r="F28" s="366"/>
      <c r="G28" s="365"/>
      <c r="H28" s="364"/>
      <c r="I28" s="785"/>
      <c r="J28" s="786"/>
      <c r="K28" s="787"/>
      <c r="L28" s="781" t="str">
        <f t="shared" si="0"/>
        <v/>
      </c>
      <c r="M28" s="781" t="str">
        <f t="shared" si="1"/>
        <v/>
      </c>
      <c r="N28" s="836" t="str">
        <f t="shared" si="2"/>
        <v/>
      </c>
      <c r="O28" s="555"/>
      <c r="P28" s="504"/>
      <c r="Q28" s="520"/>
      <c r="R28" s="410"/>
      <c r="S28" s="520"/>
      <c r="T28" s="363" t="str">
        <f>IF(C28="","",VLOOKUP(D28,'9. All Habitats + Multipliers'!$C$4:$K$102,5,FALSE))</f>
        <v/>
      </c>
      <c r="U28" s="362"/>
      <c r="V28" s="580" t="str">
        <f>IF(T28="","",VLOOKUP(T28,'11. Lists'!$B$47:$D$49,2,FALSE))</f>
        <v/>
      </c>
      <c r="W28" s="669" t="str">
        <f>IF(C28="","",VLOOKUP(D28,'10. Condition and Temporal'!$B$6:$C$103,2,FALSE))</f>
        <v/>
      </c>
      <c r="X28" s="580" t="str">
        <f>IF(W28="","",VLOOKUP(W28,'11. Lists'!$F$47:$G$51,2,FALSE))</f>
        <v/>
      </c>
      <c r="Y28" s="534"/>
      <c r="Z28" s="534"/>
      <c r="AA28" s="534"/>
      <c r="AB28" s="579" t="str">
        <f t="shared" si="3"/>
        <v/>
      </c>
      <c r="AC28" s="581" t="str">
        <f>IF(AB28="","",VLOOKUP(AB28,'11. Lists'!$F$36:$H$38,2,FALSE))</f>
        <v/>
      </c>
      <c r="AD28" s="580" t="str">
        <f>IF(AB28="","",VLOOKUP(AB28,'11. Lists'!$F$36:$H$38,3,FALSE))</f>
        <v/>
      </c>
      <c r="AE28" s="778" t="str">
        <f t="shared" si="4"/>
        <v/>
      </c>
      <c r="AF28" s="779" t="str">
        <f t="shared" si="5"/>
        <v/>
      </c>
      <c r="AG28" s="582" t="str">
        <f t="shared" si="6"/>
        <v/>
      </c>
      <c r="AH28" s="989" t="str">
        <f>IF(T28="","",VLOOKUP(T28,'11. Lists'!$B$47:$D$49,3,FALSE))</f>
        <v/>
      </c>
      <c r="AI28" s="1023" t="str">
        <f>IF(D28="","",VLOOKUP(D28,'10. Condition and Temporal'!$B$6:$L$103,4,FALSE))</f>
        <v/>
      </c>
      <c r="AJ28" s="520"/>
      <c r="AK28" s="520"/>
      <c r="AL28" s="520"/>
      <c r="AM28" s="520"/>
      <c r="AN28" s="520"/>
      <c r="AO28" s="520"/>
      <c r="AP28" s="520"/>
      <c r="AQ28" s="520"/>
      <c r="AR28" s="520"/>
      <c r="AS28" s="520"/>
      <c r="AT28" s="520"/>
      <c r="AU28" s="520"/>
      <c r="AV28" s="520"/>
      <c r="AW28" s="520"/>
      <c r="AX28" s="520"/>
      <c r="AY28" s="520"/>
      <c r="AZ28" s="520"/>
      <c r="BA28" s="520"/>
      <c r="BB28" s="520"/>
      <c r="BC28" s="520"/>
      <c r="BD28" s="520"/>
      <c r="BE28" s="520"/>
      <c r="BF28" s="520"/>
      <c r="BG28" s="520"/>
      <c r="BH28" s="520"/>
      <c r="BI28" s="520"/>
      <c r="BJ28" s="520"/>
      <c r="BK28" s="520"/>
      <c r="BL28" s="520"/>
      <c r="BM28" s="520"/>
      <c r="BN28" s="520"/>
      <c r="BO28" s="520"/>
      <c r="BP28" s="520"/>
      <c r="BQ28" s="520"/>
      <c r="BR28" s="520"/>
      <c r="BS28" s="520"/>
      <c r="BT28" s="520"/>
      <c r="BU28" s="520"/>
      <c r="BV28" s="520"/>
      <c r="BW28" s="520"/>
      <c r="BX28" s="520"/>
      <c r="BY28" s="520"/>
      <c r="BZ28" s="520"/>
      <c r="CA28" s="520"/>
      <c r="CB28" s="520"/>
      <c r="CC28" s="520"/>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520"/>
      <c r="DS28" s="520"/>
      <c r="DT28" s="520"/>
      <c r="DU28" s="520"/>
      <c r="DV28" s="520"/>
      <c r="DW28" s="520"/>
      <c r="DX28" s="520"/>
    </row>
    <row r="29" spans="1:128" ht="15.6" customHeight="1" x14ac:dyDescent="0.25">
      <c r="A29" s="520"/>
      <c r="B29" s="744">
        <v>19</v>
      </c>
      <c r="C29" s="739"/>
      <c r="D29" s="361"/>
      <c r="E29" s="360"/>
      <c r="F29" s="366"/>
      <c r="G29" s="365"/>
      <c r="H29" s="364"/>
      <c r="I29" s="785"/>
      <c r="J29" s="786"/>
      <c r="K29" s="787"/>
      <c r="L29" s="781" t="str">
        <f t="shared" si="0"/>
        <v/>
      </c>
      <c r="M29" s="781" t="str">
        <f t="shared" si="1"/>
        <v/>
      </c>
      <c r="N29" s="836" t="str">
        <f t="shared" si="2"/>
        <v/>
      </c>
      <c r="O29" s="555"/>
      <c r="P29" s="504"/>
      <c r="Q29" s="520"/>
      <c r="R29" s="410"/>
      <c r="S29" s="520"/>
      <c r="T29" s="363" t="str">
        <f>IF(C29="","",VLOOKUP(D29,'9. All Habitats + Multipliers'!$C$4:$K$102,5,FALSE))</f>
        <v/>
      </c>
      <c r="U29" s="362"/>
      <c r="V29" s="580" t="str">
        <f>IF(T29="","",VLOOKUP(T29,'11. Lists'!$B$47:$D$49,2,FALSE))</f>
        <v/>
      </c>
      <c r="W29" s="669" t="str">
        <f>IF(C29="","",VLOOKUP(D29,'10. Condition and Temporal'!$B$6:$C$103,2,FALSE))</f>
        <v/>
      </c>
      <c r="X29" s="580" t="str">
        <f>IF(W29="","",VLOOKUP(W29,'11. Lists'!$F$47:$G$51,2,FALSE))</f>
        <v/>
      </c>
      <c r="Y29" s="534"/>
      <c r="Z29" s="534"/>
      <c r="AA29" s="534"/>
      <c r="AB29" s="579" t="str">
        <f t="shared" si="3"/>
        <v/>
      </c>
      <c r="AC29" s="581" t="str">
        <f>IF(AB29="","",VLOOKUP(AB29,'11. Lists'!$F$36:$H$38,2,FALSE))</f>
        <v/>
      </c>
      <c r="AD29" s="580" t="str">
        <f>IF(AB29="","",VLOOKUP(AB29,'11. Lists'!$F$36:$H$38,3,FALSE))</f>
        <v/>
      </c>
      <c r="AE29" s="778" t="str">
        <f t="shared" si="4"/>
        <v/>
      </c>
      <c r="AF29" s="779" t="str">
        <f t="shared" si="5"/>
        <v/>
      </c>
      <c r="AG29" s="582" t="str">
        <f t="shared" si="6"/>
        <v/>
      </c>
      <c r="AH29" s="989" t="str">
        <f>IF(T29="","",VLOOKUP(T29,'11. Lists'!$B$47:$D$49,3,FALSE))</f>
        <v/>
      </c>
      <c r="AI29" s="1023" t="str">
        <f>IF(D29="","",VLOOKUP(D29,'10. Condition and Temporal'!$B$6:$L$103,4,FALSE))</f>
        <v/>
      </c>
      <c r="AJ29" s="520"/>
      <c r="AK29" s="520"/>
      <c r="AL29" s="520"/>
      <c r="AM29" s="520"/>
      <c r="AN29" s="520"/>
      <c r="AO29" s="520"/>
      <c r="AP29" s="520"/>
      <c r="AQ29" s="520"/>
      <c r="AR29" s="520"/>
      <c r="AS29" s="520"/>
      <c r="AT29" s="520"/>
      <c r="AU29" s="520"/>
      <c r="AV29" s="520"/>
      <c r="AW29" s="520"/>
      <c r="AX29" s="520"/>
      <c r="AY29" s="520"/>
      <c r="AZ29" s="520"/>
      <c r="BA29" s="520"/>
      <c r="BB29" s="520"/>
      <c r="BC29" s="520"/>
      <c r="BD29" s="520"/>
      <c r="BE29" s="520"/>
      <c r="BF29" s="520"/>
      <c r="BG29" s="520"/>
      <c r="BH29" s="520"/>
      <c r="BI29" s="520"/>
      <c r="BJ29" s="520"/>
      <c r="BK29" s="520"/>
      <c r="BL29" s="520"/>
      <c r="BM29" s="520"/>
      <c r="BN29" s="520"/>
      <c r="BO29" s="520"/>
      <c r="BP29" s="520"/>
      <c r="BQ29" s="520"/>
      <c r="BR29" s="520"/>
      <c r="BS29" s="520"/>
      <c r="BT29" s="520"/>
      <c r="BU29" s="520"/>
      <c r="BV29" s="520"/>
      <c r="BW29" s="520"/>
      <c r="BX29" s="520"/>
      <c r="BY29" s="520"/>
      <c r="BZ29" s="520"/>
      <c r="CA29" s="520"/>
      <c r="CB29" s="520"/>
      <c r="CC29" s="520"/>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c r="DR29" s="520"/>
      <c r="DS29" s="520"/>
      <c r="DT29" s="520"/>
      <c r="DU29" s="520"/>
      <c r="DV29" s="520"/>
      <c r="DW29" s="520"/>
      <c r="DX29" s="520"/>
    </row>
    <row r="30" spans="1:128" ht="16.149999999999999" customHeight="1" x14ac:dyDescent="0.25">
      <c r="A30" s="520"/>
      <c r="B30" s="745">
        <v>20</v>
      </c>
      <c r="C30" s="738"/>
      <c r="D30" s="359"/>
      <c r="E30" s="358"/>
      <c r="F30" s="366"/>
      <c r="G30" s="365"/>
      <c r="H30" s="364"/>
      <c r="I30" s="785"/>
      <c r="J30" s="786"/>
      <c r="K30" s="787"/>
      <c r="L30" s="888" t="str">
        <f t="shared" si="0"/>
        <v/>
      </c>
      <c r="M30" s="888" t="str">
        <f t="shared" si="1"/>
        <v/>
      </c>
      <c r="N30" s="889" t="str">
        <f t="shared" si="2"/>
        <v/>
      </c>
      <c r="O30" s="556"/>
      <c r="P30" s="500"/>
      <c r="Q30" s="520"/>
      <c r="R30" s="410"/>
      <c r="S30" s="520"/>
      <c r="T30" s="363" t="str">
        <f>IF(C30="","",VLOOKUP(D30,'9. All Habitats + Multipliers'!$C$4:$K$102,5,FALSE))</f>
        <v/>
      </c>
      <c r="U30" s="362"/>
      <c r="V30" s="580" t="str">
        <f>IF(T30="","",VLOOKUP(T30,'11. Lists'!$B$47:$D$49,2,FALSE))</f>
        <v/>
      </c>
      <c r="W30" s="669" t="str">
        <f>IF(C30="","",VLOOKUP(D30,'10. Condition and Temporal'!$B$6:$C$103,2,FALSE))</f>
        <v/>
      </c>
      <c r="X30" s="580" t="str">
        <f>IF(W30="","",VLOOKUP(W30,'11. Lists'!$F$47:$G$51,2,FALSE))</f>
        <v/>
      </c>
      <c r="Y30" s="534"/>
      <c r="Z30" s="534"/>
      <c r="AA30" s="534"/>
      <c r="AB30" s="579" t="str">
        <f t="shared" si="3"/>
        <v/>
      </c>
      <c r="AC30" s="581" t="str">
        <f>IF(AB30="","",VLOOKUP(AB30,'11. Lists'!$F$36:$H$38,2,FALSE))</f>
        <v/>
      </c>
      <c r="AD30" s="580" t="str">
        <f>IF(AB30="","",VLOOKUP(AB30,'11. Lists'!$F$36:$H$38,3,FALSE))</f>
        <v/>
      </c>
      <c r="AE30" s="778" t="str">
        <f t="shared" si="4"/>
        <v/>
      </c>
      <c r="AF30" s="779" t="str">
        <f t="shared" si="5"/>
        <v/>
      </c>
      <c r="AG30" s="582" t="str">
        <f t="shared" si="6"/>
        <v/>
      </c>
      <c r="AH30" s="989" t="str">
        <f>IF(T30="","",VLOOKUP(T30,'11. Lists'!$B$47:$D$49,3,FALSE))</f>
        <v/>
      </c>
      <c r="AI30" s="1023" t="str">
        <f>IF(D30="","",VLOOKUP(D30,'10. Condition and Temporal'!$B$6:$L$103,4,FALSE))</f>
        <v/>
      </c>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c r="BS30" s="520"/>
      <c r="BT30" s="520"/>
      <c r="BU30" s="520"/>
      <c r="BV30" s="520"/>
      <c r="BW30" s="520"/>
      <c r="BX30" s="520"/>
      <c r="BY30" s="520"/>
      <c r="BZ30" s="520"/>
      <c r="CA30" s="520"/>
      <c r="CB30" s="520"/>
      <c r="CC30" s="520"/>
      <c r="CD30" s="520"/>
      <c r="CE30" s="520"/>
      <c r="CF30" s="520"/>
      <c r="CG30" s="520"/>
      <c r="CH30" s="520"/>
      <c r="CI30" s="520"/>
      <c r="CJ30" s="520"/>
      <c r="CK30" s="520"/>
      <c r="CL30" s="520"/>
      <c r="CM30" s="520"/>
      <c r="CN30" s="520"/>
      <c r="CO30" s="520"/>
      <c r="CP30" s="520"/>
      <c r="CQ30" s="520"/>
      <c r="CR30" s="520"/>
      <c r="CS30" s="520"/>
      <c r="CT30" s="520"/>
      <c r="CU30" s="520"/>
      <c r="CV30" s="520"/>
      <c r="CW30" s="520"/>
      <c r="CX30" s="520"/>
      <c r="CY30" s="520"/>
      <c r="CZ30" s="520"/>
      <c r="DA30" s="520"/>
      <c r="DB30" s="520"/>
      <c r="DC30" s="520"/>
      <c r="DD30" s="520"/>
      <c r="DE30" s="520"/>
      <c r="DF30" s="520"/>
      <c r="DG30" s="520"/>
      <c r="DH30" s="520"/>
      <c r="DI30" s="520"/>
      <c r="DJ30" s="520"/>
      <c r="DK30" s="520"/>
      <c r="DL30" s="520"/>
      <c r="DM30" s="520"/>
      <c r="DN30" s="520"/>
      <c r="DO30" s="520"/>
      <c r="DP30" s="520"/>
      <c r="DQ30" s="520"/>
      <c r="DR30" s="520"/>
      <c r="DS30" s="520"/>
      <c r="DT30" s="520"/>
      <c r="DU30" s="520"/>
      <c r="DV30" s="520"/>
      <c r="DW30" s="520"/>
      <c r="DX30" s="520"/>
    </row>
    <row r="31" spans="1:128" ht="29.45" customHeight="1" x14ac:dyDescent="0.25">
      <c r="A31" s="520"/>
      <c r="B31" s="745" t="s">
        <v>104</v>
      </c>
      <c r="C31" s="583" t="s">
        <v>105</v>
      </c>
      <c r="D31" s="357" t="s">
        <v>106</v>
      </c>
      <c r="E31" s="356"/>
      <c r="F31" s="355" t="s">
        <v>107</v>
      </c>
      <c r="G31" s="354"/>
      <c r="H31" s="353"/>
      <c r="I31" s="804">
        <f>I99</f>
        <v>0</v>
      </c>
      <c r="J31" s="805">
        <f>L99</f>
        <v>0</v>
      </c>
      <c r="K31" s="904"/>
      <c r="L31" s="884">
        <f>IF(C31="","",((I31/10000)*V31*X31)*AD31)</f>
        <v>0</v>
      </c>
      <c r="M31" s="890">
        <f>IF(C31="","",I31-J31-K31)</f>
        <v>0</v>
      </c>
      <c r="N31" s="891">
        <f>IF(C31="","",((M31/10000)*V31*X31)*AD31)</f>
        <v>0</v>
      </c>
      <c r="O31" s="509"/>
      <c r="P31" s="510"/>
      <c r="Q31" s="520"/>
      <c r="R31" s="410"/>
      <c r="S31" s="520"/>
      <c r="T31" s="352" t="str">
        <f>IF(C31="","",VLOOKUP(D31,'9. All Habitats + Multipliers'!$C$4:$K$102,5,FALSE))</f>
        <v>Medium</v>
      </c>
      <c r="U31" s="351"/>
      <c r="V31" s="585">
        <f>IF(T31="","",VLOOKUP(T31,'11. Lists'!$B$47:$D$49,2,FALSE))</f>
        <v>4</v>
      </c>
      <c r="W31" s="825" t="str">
        <f>IF(C31="","",VLOOKUP(D31,'10. Condition and Temporal'!$B$6:$C$103,2,FALSE))</f>
        <v>Moderate</v>
      </c>
      <c r="X31" s="585">
        <f>IF(W31="","",VLOOKUP(W31,'11. Lists'!$F$47:$G$51,2,FALSE))</f>
        <v>2</v>
      </c>
      <c r="Y31" s="534"/>
      <c r="Z31" s="534"/>
      <c r="AA31" s="534"/>
      <c r="AB31" s="584" t="str">
        <f t="shared" si="3"/>
        <v>Formally identified in local strategy</v>
      </c>
      <c r="AC31" s="586" t="str">
        <f>IF(AB31="","",VLOOKUP(AB31,'11. Lists'!$F$36:$H$38,2,FALSE))</f>
        <v xml:space="preserve">High strategic significance </v>
      </c>
      <c r="AD31" s="585">
        <f>IF(AB31="","",VLOOKUP(AB31,'11. Lists'!$F$36:$H$38,3,FALSE))</f>
        <v>1.1499999999999999</v>
      </c>
      <c r="AE31" s="1022">
        <f>IF(D31="","",((J31/10000)*V31*X31)*(AD31))</f>
        <v>0</v>
      </c>
      <c r="AF31" s="587">
        <f>IF(D31="","",((K31/10000)*V31*X31)*(AD31))</f>
        <v>0</v>
      </c>
      <c r="AG31" s="588">
        <f t="shared" si="6"/>
        <v>0</v>
      </c>
      <c r="AH31" s="990" t="str">
        <f>IF(T31="","",VLOOKUP(T31,'11. Lists'!$B$47:$D$49,3,FALSE))</f>
        <v>Same broad habitat or a higher distinctiveness habitat required</v>
      </c>
      <c r="AI31" s="1023" t="str">
        <f>IF(D31="","",VLOOKUP(D31,'10. Condition and Temporal'!$B$6:$L$103,4,FALSE))</f>
        <v>Urban/rural tree</v>
      </c>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c r="CJ31" s="520"/>
      <c r="CK31" s="520"/>
      <c r="CL31" s="520"/>
      <c r="CM31" s="520"/>
      <c r="CN31" s="520"/>
      <c r="CO31" s="520"/>
      <c r="CP31" s="520"/>
      <c r="CQ31" s="520"/>
      <c r="CR31" s="520"/>
      <c r="CS31" s="520"/>
      <c r="CT31" s="520"/>
      <c r="CU31" s="520"/>
      <c r="CV31" s="520"/>
      <c r="CW31" s="520"/>
      <c r="CX31" s="520"/>
      <c r="CY31" s="520"/>
      <c r="CZ31" s="520"/>
      <c r="DA31" s="520"/>
      <c r="DB31" s="520"/>
      <c r="DC31" s="520"/>
      <c r="DD31" s="520"/>
      <c r="DE31" s="520"/>
      <c r="DF31" s="520"/>
      <c r="DG31" s="520"/>
      <c r="DH31" s="520"/>
      <c r="DI31" s="520"/>
      <c r="DJ31" s="520"/>
      <c r="DK31" s="520"/>
      <c r="DL31" s="520"/>
      <c r="DM31" s="520"/>
      <c r="DN31" s="520"/>
      <c r="DO31" s="520"/>
      <c r="DP31" s="520"/>
      <c r="DQ31" s="520"/>
      <c r="DR31" s="520"/>
      <c r="DS31" s="520"/>
      <c r="DT31" s="520"/>
      <c r="DU31" s="520"/>
      <c r="DV31" s="520"/>
      <c r="DW31" s="520"/>
      <c r="DX31" s="520"/>
    </row>
    <row r="32" spans="1:128" s="520" customFormat="1" ht="15" customHeight="1" x14ac:dyDescent="0.25">
      <c r="D32" s="575"/>
      <c r="E32" s="589"/>
      <c r="F32" s="589"/>
      <c r="G32" s="589"/>
      <c r="H32" s="977" t="s">
        <v>108</v>
      </c>
      <c r="I32" s="806">
        <f>SUMIFS(I11:I30,D11:D30,"&lt;&gt;"&amp;'11. Lists'!Q10,D11:D30,"&lt;&gt;"&amp;'11. Lists'!Q11,D11:D30,"&lt;&gt;"&amp;'11. Lists'!I4,D11:D30,"&lt;&gt;"&amp;'11. Lists'!I2,D11:D30,"&lt;&gt;"&amp;'11. Lists'!I3)</f>
        <v>454.93040000000002</v>
      </c>
      <c r="J32" s="807">
        <f>SUMIFS(J11:J30,D11:D30,"&lt;&gt;"&amp;'11. Lists'!Q10,D11:D30,"&lt;&gt;"&amp;'11. Lists'!Q11,D11:D30,"&lt;&gt;"&amp;'11. Lists'!I4,D11:D30,"&lt;&gt;"&amp;'11. Lists'!I2,D11:D30,"&lt;&gt;"&amp;'11. Lists'!I3)</f>
        <v>0</v>
      </c>
      <c r="K32" s="808">
        <f>SUMIFS(K11:K30,D11:D30,"&lt;&gt;"&amp;'11. Lists'!Q10,D11:D30,"&lt;&gt;"&amp;'11. Lists'!Q11,D11:D30,"&lt;&gt;"&amp;'11. Lists'!I4,D11:D30,"&lt;&gt;"&amp;'11. Lists'!I2,D11:D30,"&lt;&gt;"&amp;'11. Lists'!I3)</f>
        <v>209.71680000000001</v>
      </c>
      <c r="L32" s="759">
        <f>SUM(L11:L31)</f>
        <v>0.18197216000000002</v>
      </c>
      <c r="M32" s="799">
        <f>SUMIFS(M11:M30,D11:D30,"&lt;&gt;"&amp;'11. Lists'!Q10,D11:D30,"&lt;&gt;"&amp;'11. Lists'!Q11,D11:D30,"&lt;&gt;"&amp;'11. Lists'!I4,D11:D30,"&lt;&gt;"&amp;'11. Lists'!I2,D11:D30,"&lt;&gt;"&amp;'11. Lists'!I3)</f>
        <v>245.21360000000001</v>
      </c>
      <c r="N32" s="760">
        <f>SUM(N11:N31)</f>
        <v>9.808544000000001E-2</v>
      </c>
      <c r="R32" s="410"/>
    </row>
    <row r="33" spans="2:34" s="520" customFormat="1" x14ac:dyDescent="0.25">
      <c r="D33" s="575"/>
      <c r="E33" s="589"/>
      <c r="F33" s="589"/>
      <c r="G33" s="589"/>
      <c r="H33" s="761" t="s">
        <v>109</v>
      </c>
      <c r="I33" s="35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350"/>
      <c r="K33" s="350"/>
      <c r="L33" s="350"/>
      <c r="M33" s="350"/>
      <c r="N33" s="349"/>
      <c r="O33" s="643">
        <f>IFERROR(FIND("Error",I33),0)</f>
        <v>0</v>
      </c>
      <c r="R33" s="590"/>
    </row>
    <row r="34" spans="2:34" s="520" customFormat="1" x14ac:dyDescent="0.25">
      <c r="D34" s="575"/>
      <c r="E34" s="589"/>
      <c r="F34" s="589"/>
      <c r="G34" s="589"/>
      <c r="H34" s="762" t="s">
        <v>110</v>
      </c>
      <c r="I34" s="348" t="str">
        <f>IF(I32&lt;J32+K32,"Error - Areas Retained and Enhanced Exceed Total Area ▲","Areas Acceptable ✓")</f>
        <v>Areas Acceptable ✓</v>
      </c>
      <c r="J34" s="348"/>
      <c r="K34" s="348"/>
      <c r="L34" s="348"/>
      <c r="M34" s="348"/>
      <c r="N34" s="347"/>
      <c r="O34" s="643">
        <f>IFERROR(FIND("Error",I34),0)</f>
        <v>0</v>
      </c>
      <c r="R34" s="590"/>
    </row>
    <row r="35" spans="2:34" s="520" customFormat="1" ht="15" customHeight="1" x14ac:dyDescent="0.25">
      <c r="D35" s="575"/>
      <c r="E35" s="589"/>
      <c r="F35" s="589"/>
      <c r="G35" s="589"/>
      <c r="H35" s="752" t="s">
        <v>111</v>
      </c>
      <c r="I35" s="346" t="str">
        <f>IF(I32=0,"Areas Acceptable ✓",IF(I32&lt;&gt;'3. Desktop Assessment'!C7,"Error - Areas Entered Does Not Match Stated Site Area ▲","Areas Acceptable ✓"))</f>
        <v>Areas Acceptable ✓</v>
      </c>
      <c r="J35" s="346"/>
      <c r="K35" s="346"/>
      <c r="L35" s="346"/>
      <c r="M35" s="346"/>
      <c r="N35" s="345"/>
      <c r="O35" s="643">
        <f>IFERROR(FIND("Error",I35),0)</f>
        <v>0</v>
      </c>
      <c r="R35" s="410" t="s">
        <v>67</v>
      </c>
    </row>
    <row r="36" spans="2:34" s="520" customFormat="1" ht="21" customHeight="1" x14ac:dyDescent="0.35">
      <c r="B36" s="543" t="s">
        <v>112</v>
      </c>
      <c r="D36" s="574"/>
      <c r="E36" s="589"/>
      <c r="F36" s="589"/>
      <c r="G36" s="589"/>
      <c r="I36" s="521"/>
      <c r="O36" s="643">
        <f>COUNTIF(L11:N30,"*"&amp;"error"&amp;"*")</f>
        <v>0</v>
      </c>
      <c r="R36" s="410"/>
    </row>
    <row r="37" spans="2:34" s="520" customFormat="1" ht="15.75" customHeight="1" x14ac:dyDescent="0.25">
      <c r="R37" s="410"/>
    </row>
    <row r="38" spans="2:34" s="520" customFormat="1" ht="16.149999999999999" customHeight="1" x14ac:dyDescent="0.25">
      <c r="B38" s="395" t="s">
        <v>60</v>
      </c>
      <c r="C38" s="392"/>
      <c r="D38" s="344"/>
      <c r="E38" s="393" t="s">
        <v>113</v>
      </c>
      <c r="F38" s="343"/>
      <c r="G38" s="391"/>
      <c r="H38" s="343" t="s">
        <v>114</v>
      </c>
      <c r="I38" s="390" t="s">
        <v>115</v>
      </c>
      <c r="J38" s="389"/>
      <c r="K38" s="388"/>
      <c r="L38" s="341" t="s">
        <v>116</v>
      </c>
      <c r="M38" s="392"/>
      <c r="N38" s="344"/>
      <c r="O38" s="393" t="s">
        <v>80</v>
      </c>
      <c r="P38" s="391"/>
      <c r="R38" s="410"/>
      <c r="T38" s="381" t="s">
        <v>81</v>
      </c>
      <c r="U38" s="380"/>
      <c r="V38" s="379"/>
      <c r="W38" s="378" t="s">
        <v>82</v>
      </c>
      <c r="X38" s="379"/>
      <c r="Y38" s="377"/>
      <c r="Z38" s="377"/>
      <c r="AA38" s="377"/>
      <c r="AB38" s="381" t="s">
        <v>83</v>
      </c>
      <c r="AC38" s="380"/>
      <c r="AD38" s="379"/>
      <c r="AE38" s="381" t="s">
        <v>117</v>
      </c>
      <c r="AF38" s="379"/>
      <c r="AG38" s="381" t="s">
        <v>118</v>
      </c>
      <c r="AH38" s="379"/>
    </row>
    <row r="39" spans="2:34" s="520" customFormat="1" ht="31.9" customHeight="1" x14ac:dyDescent="0.25">
      <c r="B39" s="394"/>
      <c r="C39" s="682" t="s">
        <v>87</v>
      </c>
      <c r="D39" s="683" t="s">
        <v>119</v>
      </c>
      <c r="E39" s="572" t="s">
        <v>120</v>
      </c>
      <c r="F39" s="338" t="s">
        <v>121</v>
      </c>
      <c r="G39" s="337"/>
      <c r="H39" s="342"/>
      <c r="I39" s="387"/>
      <c r="J39" s="386"/>
      <c r="K39" s="385"/>
      <c r="L39" s="340"/>
      <c r="M39" s="339"/>
      <c r="N39" s="338"/>
      <c r="O39" s="572" t="s">
        <v>95</v>
      </c>
      <c r="P39" s="576" t="s">
        <v>96</v>
      </c>
      <c r="R39" s="410"/>
      <c r="T39" s="370" t="s">
        <v>97</v>
      </c>
      <c r="U39" s="369"/>
      <c r="V39" s="578" t="s">
        <v>98</v>
      </c>
      <c r="W39" s="814" t="s">
        <v>99</v>
      </c>
      <c r="X39" s="578" t="s">
        <v>98</v>
      </c>
      <c r="Y39" s="826"/>
      <c r="Z39" s="826"/>
      <c r="AA39" s="826"/>
      <c r="AB39" s="577" t="s">
        <v>83</v>
      </c>
      <c r="AC39" s="535" t="s">
        <v>83</v>
      </c>
      <c r="AD39" s="578" t="s">
        <v>100</v>
      </c>
      <c r="AE39" s="577" t="s">
        <v>122</v>
      </c>
      <c r="AF39" s="578" t="s">
        <v>123</v>
      </c>
      <c r="AG39" s="577" t="s">
        <v>124</v>
      </c>
      <c r="AH39" s="578" t="s">
        <v>125</v>
      </c>
    </row>
    <row r="40" spans="2:34" s="520" customFormat="1" ht="15.6" customHeight="1" x14ac:dyDescent="0.25">
      <c r="B40" s="743">
        <v>1</v>
      </c>
      <c r="C40" s="562" t="s">
        <v>224</v>
      </c>
      <c r="D40" s="559" t="s">
        <v>342</v>
      </c>
      <c r="E40" s="822" t="str">
        <f>IF(D40="","",VLOOKUP(D40,'10. Condition and Temporal'!$B$6:$D$103,3,FALSE))</f>
        <v>N/A - Other</v>
      </c>
      <c r="F40" s="336" t="s">
        <v>402</v>
      </c>
      <c r="G40" s="335"/>
      <c r="H40" s="558" t="s">
        <v>188</v>
      </c>
      <c r="I40" s="334">
        <v>119.6223</v>
      </c>
      <c r="J40" s="333"/>
      <c r="K40" s="332"/>
      <c r="L40" s="331">
        <f t="shared" ref="L40:L59" si="7">IF(C40="","",IFERROR(IF(I40="","",((I40/10000)*(V40*X40))*(AH40*AF40)*AD40),"This intervention is not permitted within the SSM ▲"))</f>
        <v>0</v>
      </c>
      <c r="M40" s="330"/>
      <c r="N40" s="329"/>
      <c r="O40" s="498"/>
      <c r="P40" s="497"/>
      <c r="Q40" s="592"/>
      <c r="R40" s="410"/>
      <c r="T40" s="363" t="str">
        <f>IF(C40="","",VLOOKUP(D40,'9. All Habitats + Multipliers'!$C$4:$K$102,5,FALSE))</f>
        <v>V.Low</v>
      </c>
      <c r="U40" s="362"/>
      <c r="V40" s="580">
        <f>IF(T40="","",VLOOKUP(T40,'11. Lists'!$B$47:$D$49,2,FALSE))</f>
        <v>0</v>
      </c>
      <c r="W40" s="669" t="str">
        <f t="shared" ref="W40:W60" si="8">IF(F40="","",F40)</f>
        <v>N/A - Other</v>
      </c>
      <c r="X40" s="580">
        <f>IF(W40="","",VLOOKUP(W40,'11. Lists'!$F$47:$G$51,2,FALSE))</f>
        <v>0</v>
      </c>
      <c r="Y40" s="534"/>
      <c r="Z40" s="534"/>
      <c r="AA40" s="534"/>
      <c r="AB40" s="579" t="str">
        <f t="shared" ref="AB40:AB60" si="9">IF(H40="","",H40)</f>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593">
        <f>IF(AE40="","",VLOOKUP(AE40,'11. Lists'!$I$47:$K$80,3,FALSE))</f>
        <v>1</v>
      </c>
      <c r="AG40" s="579" t="str">
        <f>IF(D40="","",VLOOKUP(D40,'9. All Habitats + Multipliers'!$C$4:$K$102,7,FALSE))</f>
        <v>Low</v>
      </c>
      <c r="AH40" s="580">
        <f>IF(AG40="","",VLOOKUP(AG40,'11. Lists'!$J$35:$K$38,2,FALSE))</f>
        <v>1</v>
      </c>
    </row>
    <row r="41" spans="2:34" s="520" customFormat="1" ht="15.6" customHeight="1" x14ac:dyDescent="0.25">
      <c r="B41" s="744">
        <v>2</v>
      </c>
      <c r="C41" s="563" t="s">
        <v>224</v>
      </c>
      <c r="D41" s="559" t="s">
        <v>349</v>
      </c>
      <c r="E41" s="822" t="str">
        <f>IF(D41="","",VLOOKUP(D41,'10. Condition and Temporal'!$B$6:$D$103,3,FALSE))</f>
        <v>N/A - Other</v>
      </c>
      <c r="F41" s="328" t="s">
        <v>402</v>
      </c>
      <c r="G41" s="327"/>
      <c r="H41" s="557" t="s">
        <v>188</v>
      </c>
      <c r="I41" s="334">
        <v>125.5913</v>
      </c>
      <c r="J41" s="333"/>
      <c r="K41" s="332"/>
      <c r="L41" s="331">
        <f t="shared" si="7"/>
        <v>0</v>
      </c>
      <c r="M41" s="330"/>
      <c r="N41" s="329"/>
      <c r="O41" s="547"/>
      <c r="P41" s="508"/>
      <c r="Q41" s="592"/>
      <c r="R41" s="410"/>
      <c r="T41" s="363" t="str">
        <f>IF(C41="","",VLOOKUP(D41,'9. All Habitats + Multipliers'!$C$4:$K$102,5,FALSE))</f>
        <v>V.Low</v>
      </c>
      <c r="U41" s="362"/>
      <c r="V41" s="580">
        <f>IF(T41="","",VLOOKUP(T41,'11. Lists'!$B$47:$D$49,2,FALSE))</f>
        <v>0</v>
      </c>
      <c r="W41" s="669" t="str">
        <f t="shared" si="8"/>
        <v>N/A - Other</v>
      </c>
      <c r="X41" s="580">
        <f>IF(W41="","",VLOOKUP(W41,'11. Lists'!$F$47:$G$51,2,FALSE))</f>
        <v>0</v>
      </c>
      <c r="Y41" s="534"/>
      <c r="Z41" s="534"/>
      <c r="AA41" s="534"/>
      <c r="AB41" s="579" t="str">
        <f t="shared" si="9"/>
        <v>Area/compensation not in local strategy/ no local strategy</v>
      </c>
      <c r="AC41" s="581" t="str">
        <f>IF(AB41="","",VLOOKUP(AB41,'11. Lists'!$F$36:$H$38,2,FALSE))</f>
        <v>Low Strategic Significance</v>
      </c>
      <c r="AD41" s="580">
        <f>IF(AB41="","",VLOOKUP(AB41,'11. Lists'!$F$36:$H$38,3,FALSE))</f>
        <v>1</v>
      </c>
      <c r="AE41" s="579">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0</v>
      </c>
      <c r="AF41" s="593">
        <f>IF(AE41="","",VLOOKUP(AE41,'11. Lists'!$I$47:$K$80,3,FALSE))</f>
        <v>1</v>
      </c>
      <c r="AG41" s="579" t="str">
        <f>IF(D41="","",VLOOKUP(D41,'9. All Habitats + Multipliers'!$C$4:$K$102,7,FALSE))</f>
        <v>Low</v>
      </c>
      <c r="AH41" s="580">
        <f>IF(AG41="","",VLOOKUP(AG41,'11. Lists'!$J$35:$K$38,2,FALSE))</f>
        <v>1</v>
      </c>
    </row>
    <row r="42" spans="2:34" s="520" customFormat="1" ht="15.6" customHeight="1" x14ac:dyDescent="0.25">
      <c r="B42" s="744">
        <v>3</v>
      </c>
      <c r="C42" s="563"/>
      <c r="D42" s="559"/>
      <c r="E42" s="822" t="str">
        <f>IF(D42="","",VLOOKUP(D42,'10. Condition and Temporal'!$B$6:$D$103,3,FALSE))</f>
        <v/>
      </c>
      <c r="F42" s="328"/>
      <c r="G42" s="327"/>
      <c r="H42" s="557"/>
      <c r="I42" s="334"/>
      <c r="J42" s="333"/>
      <c r="K42" s="332"/>
      <c r="L42" s="331" t="str">
        <f t="shared" si="7"/>
        <v/>
      </c>
      <c r="M42" s="330"/>
      <c r="N42" s="329"/>
      <c r="O42" s="547"/>
      <c r="P42" s="508"/>
      <c r="Q42" s="592"/>
      <c r="R42" s="410"/>
      <c r="T42" s="363" t="str">
        <f>IF(C42="","",VLOOKUP(D42,'9. All Habitats + Multipliers'!$C$4:$K$102,5,FALSE))</f>
        <v/>
      </c>
      <c r="U42" s="362"/>
      <c r="V42" s="580" t="str">
        <f>IF(T42="","",VLOOKUP(T42,'11. Lists'!$B$47:$D$49,2,FALSE))</f>
        <v/>
      </c>
      <c r="W42" s="669" t="str">
        <f t="shared" si="8"/>
        <v/>
      </c>
      <c r="X42" s="580" t="str">
        <f>IF(W42="","",VLOOKUP(W42,'11. Lists'!$F$47:$G$51,2,FALSE))</f>
        <v/>
      </c>
      <c r="Y42" s="534"/>
      <c r="Z42" s="534"/>
      <c r="AA42" s="534"/>
      <c r="AB42" s="579" t="str">
        <f t="shared" si="9"/>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15.6" customHeight="1" x14ac:dyDescent="0.25">
      <c r="B43" s="744">
        <v>4</v>
      </c>
      <c r="C43" s="563"/>
      <c r="D43" s="559"/>
      <c r="E43" s="822" t="str">
        <f>IF(D43="","",VLOOKUP(D43,'10. Condition and Temporal'!$B$6:$D$103,3,FALSE))</f>
        <v/>
      </c>
      <c r="F43" s="328"/>
      <c r="G43" s="327"/>
      <c r="H43" s="557"/>
      <c r="I43" s="334"/>
      <c r="J43" s="333"/>
      <c r="K43" s="332"/>
      <c r="L43" s="331" t="str">
        <f t="shared" si="7"/>
        <v/>
      </c>
      <c r="M43" s="330"/>
      <c r="N43" s="329"/>
      <c r="O43" s="547"/>
      <c r="P43" s="508"/>
      <c r="Q43" s="592"/>
      <c r="R43" s="410"/>
      <c r="T43" s="363" t="str">
        <f>IF(C43="","",VLOOKUP(D43,'9. All Habitats + Multipliers'!$C$4:$K$102,5,FALSE))</f>
        <v/>
      </c>
      <c r="U43" s="362"/>
      <c r="V43" s="580" t="str">
        <f>IF(T43="","",VLOOKUP(T43,'11. Lists'!$B$47:$D$49,2,FALSE))</f>
        <v/>
      </c>
      <c r="W43" s="669" t="str">
        <f t="shared" si="8"/>
        <v/>
      </c>
      <c r="X43" s="580" t="str">
        <f>IF(W43="","",VLOOKUP(W43,'11. Lists'!$F$47:$G$51,2,FALSE))</f>
        <v/>
      </c>
      <c r="Y43" s="534"/>
      <c r="Z43" s="534"/>
      <c r="AA43" s="534"/>
      <c r="AB43" s="579" t="str">
        <f t="shared" si="9"/>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15.6" customHeight="1" x14ac:dyDescent="0.25">
      <c r="B44" s="744">
        <v>5</v>
      </c>
      <c r="C44" s="563"/>
      <c r="D44" s="559"/>
      <c r="E44" s="822" t="str">
        <f>IF(D44="","",VLOOKUP(D44,'10. Condition and Temporal'!$B$6:$D$103,3,FALSE))</f>
        <v/>
      </c>
      <c r="F44" s="328"/>
      <c r="G44" s="327"/>
      <c r="H44" s="557"/>
      <c r="I44" s="334"/>
      <c r="J44" s="333"/>
      <c r="K44" s="332"/>
      <c r="L44" s="331" t="str">
        <f t="shared" si="7"/>
        <v/>
      </c>
      <c r="M44" s="330"/>
      <c r="N44" s="329"/>
      <c r="O44" s="547"/>
      <c r="P44" s="508"/>
      <c r="R44" s="410"/>
      <c r="T44" s="363" t="str">
        <f>IF(C44="","",VLOOKUP(D44,'9. All Habitats + Multipliers'!$C$4:$K$102,5,FALSE))</f>
        <v/>
      </c>
      <c r="U44" s="362"/>
      <c r="V44" s="580" t="str">
        <f>IF(T44="","",VLOOKUP(T44,'11. Lists'!$B$47:$D$49,2,FALSE))</f>
        <v/>
      </c>
      <c r="W44" s="669" t="str">
        <f t="shared" si="8"/>
        <v/>
      </c>
      <c r="X44" s="580" t="str">
        <f>IF(W44="","",VLOOKUP(W44,'11. Lists'!$F$47:$G$51,2,FALSE))</f>
        <v/>
      </c>
      <c r="Y44" s="534"/>
      <c r="Z44" s="534"/>
      <c r="AA44" s="534"/>
      <c r="AB44" s="579" t="str">
        <f t="shared" si="9"/>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15.6" customHeight="1" x14ac:dyDescent="0.25">
      <c r="B45" s="744">
        <v>6</v>
      </c>
      <c r="C45" s="563"/>
      <c r="D45" s="559"/>
      <c r="E45" s="822" t="str">
        <f>IF(D45="","",VLOOKUP(D45,'10. Condition and Temporal'!$B$6:$D$103,3,FALSE))</f>
        <v/>
      </c>
      <c r="F45" s="328"/>
      <c r="G45" s="327"/>
      <c r="H45" s="557"/>
      <c r="I45" s="334"/>
      <c r="J45" s="333"/>
      <c r="K45" s="332"/>
      <c r="L45" s="331" t="str">
        <f t="shared" si="7"/>
        <v/>
      </c>
      <c r="M45" s="330"/>
      <c r="N45" s="329"/>
      <c r="O45" s="547"/>
      <c r="P45" s="508"/>
      <c r="R45" s="410"/>
      <c r="T45" s="363" t="str">
        <f>IF(C45="","",VLOOKUP(D45,'9. All Habitats + Multipliers'!$C$4:$K$102,5,FALSE))</f>
        <v/>
      </c>
      <c r="U45" s="362"/>
      <c r="V45" s="580" t="str">
        <f>IF(T45="","",VLOOKUP(T45,'11. Lists'!$B$47:$D$49,2,FALSE))</f>
        <v/>
      </c>
      <c r="W45" s="669" t="str">
        <f t="shared" si="8"/>
        <v/>
      </c>
      <c r="X45" s="580" t="str">
        <f>IF(W45="","",VLOOKUP(W45,'11. Lists'!$F$47:$G$51,2,FALSE))</f>
        <v/>
      </c>
      <c r="Y45" s="534"/>
      <c r="Z45" s="534"/>
      <c r="AA45" s="534"/>
      <c r="AB45" s="579" t="str">
        <f t="shared" si="9"/>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15.6" customHeight="1" x14ac:dyDescent="0.25">
      <c r="B46" s="744">
        <v>7</v>
      </c>
      <c r="C46" s="563"/>
      <c r="D46" s="559"/>
      <c r="E46" s="822" t="str">
        <f>IF(D46="","",VLOOKUP(D46,'10. Condition and Temporal'!$B$6:$D$103,3,FALSE))</f>
        <v/>
      </c>
      <c r="F46" s="328"/>
      <c r="G46" s="327"/>
      <c r="H46" s="557"/>
      <c r="I46" s="334"/>
      <c r="J46" s="333"/>
      <c r="K46" s="332"/>
      <c r="L46" s="331" t="str">
        <f t="shared" si="7"/>
        <v/>
      </c>
      <c r="M46" s="330"/>
      <c r="N46" s="329"/>
      <c r="O46" s="547"/>
      <c r="P46" s="508"/>
      <c r="R46" s="410"/>
      <c r="T46" s="363" t="str">
        <f>IF(C46="","",VLOOKUP(D46,'9. All Habitats + Multipliers'!$C$4:$K$102,5,FALSE))</f>
        <v/>
      </c>
      <c r="U46" s="362"/>
      <c r="V46" s="580" t="str">
        <f>IF(T46="","",VLOOKUP(T46,'11. Lists'!$B$47:$D$49,2,FALSE))</f>
        <v/>
      </c>
      <c r="W46" s="669" t="str">
        <f t="shared" si="8"/>
        <v/>
      </c>
      <c r="X46" s="580" t="str">
        <f>IF(W46="","",VLOOKUP(W46,'11. Lists'!$F$47:$G$51,2,FALSE))</f>
        <v/>
      </c>
      <c r="Y46" s="534"/>
      <c r="Z46" s="534"/>
      <c r="AA46" s="534"/>
      <c r="AB46" s="579" t="str">
        <f t="shared" si="9"/>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15.6" customHeight="1" x14ac:dyDescent="0.25">
      <c r="B47" s="744">
        <v>8</v>
      </c>
      <c r="C47" s="563"/>
      <c r="D47" s="559"/>
      <c r="E47" s="822" t="str">
        <f>IF(D47="","",VLOOKUP(D47,'10. Condition and Temporal'!$B$6:$D$103,3,FALSE))</f>
        <v/>
      </c>
      <c r="F47" s="328"/>
      <c r="G47" s="327"/>
      <c r="H47" s="557"/>
      <c r="I47" s="334"/>
      <c r="J47" s="333"/>
      <c r="K47" s="332"/>
      <c r="L47" s="331" t="str">
        <f t="shared" si="7"/>
        <v/>
      </c>
      <c r="M47" s="330"/>
      <c r="N47" s="329"/>
      <c r="O47" s="547"/>
      <c r="P47" s="508"/>
      <c r="R47" s="410"/>
      <c r="T47" s="363" t="str">
        <f>IF(C47="","",VLOOKUP(D47,'9. All Habitats + Multipliers'!$C$4:$K$102,5,FALSE))</f>
        <v/>
      </c>
      <c r="U47" s="362"/>
      <c r="V47" s="580" t="str">
        <f>IF(T47="","",VLOOKUP(T47,'11. Lists'!$B$47:$D$49,2,FALSE))</f>
        <v/>
      </c>
      <c r="W47" s="669" t="str">
        <f t="shared" si="8"/>
        <v/>
      </c>
      <c r="X47" s="580" t="str">
        <f>IF(W47="","",VLOOKUP(W47,'11. Lists'!$F$47:$G$51,2,FALSE))</f>
        <v/>
      </c>
      <c r="Y47" s="534"/>
      <c r="Z47" s="534"/>
      <c r="AA47" s="534"/>
      <c r="AB47" s="579" t="str">
        <f t="shared" si="9"/>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15.6" customHeight="1" x14ac:dyDescent="0.25">
      <c r="B48" s="744">
        <v>9</v>
      </c>
      <c r="C48" s="563"/>
      <c r="D48" s="559"/>
      <c r="E48" s="822" t="str">
        <f>IF(D48="","",VLOOKUP(D48,'10. Condition and Temporal'!$B$6:$D$103,3,FALSE))</f>
        <v/>
      </c>
      <c r="F48" s="328"/>
      <c r="G48" s="327"/>
      <c r="H48" s="557"/>
      <c r="I48" s="334"/>
      <c r="J48" s="333"/>
      <c r="K48" s="332"/>
      <c r="L48" s="331" t="str">
        <f t="shared" si="7"/>
        <v/>
      </c>
      <c r="M48" s="330"/>
      <c r="N48" s="329"/>
      <c r="O48" s="547"/>
      <c r="P48" s="508"/>
      <c r="R48" s="410"/>
      <c r="T48" s="363" t="str">
        <f>IF(C48="","",VLOOKUP(D48,'9. All Habitats + Multipliers'!$C$4:$K$102,5,FALSE))</f>
        <v/>
      </c>
      <c r="U48" s="362"/>
      <c r="V48" s="580" t="str">
        <f>IF(T48="","",VLOOKUP(T48,'11. Lists'!$B$47:$D$49,2,FALSE))</f>
        <v/>
      </c>
      <c r="W48" s="669" t="str">
        <f t="shared" si="8"/>
        <v/>
      </c>
      <c r="X48" s="580" t="str">
        <f>IF(W48="","",VLOOKUP(W48,'11. Lists'!$F$47:$G$51,2,FALSE))</f>
        <v/>
      </c>
      <c r="Y48" s="534"/>
      <c r="Z48" s="534"/>
      <c r="AA48" s="534"/>
      <c r="AB48" s="579" t="str">
        <f t="shared" si="9"/>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2:53" s="520" customFormat="1" ht="15.6" customHeight="1" x14ac:dyDescent="0.25">
      <c r="B49" s="744">
        <v>10</v>
      </c>
      <c r="C49" s="564"/>
      <c r="D49" s="559"/>
      <c r="E49" s="822" t="str">
        <f>IF(D49="","",VLOOKUP(D49,'10. Condition and Temporal'!$B$6:$D$103,3,FALSE))</f>
        <v/>
      </c>
      <c r="F49" s="328"/>
      <c r="G49" s="327"/>
      <c r="H49" s="557"/>
      <c r="I49" s="334"/>
      <c r="J49" s="333"/>
      <c r="K49" s="332"/>
      <c r="L49" s="331" t="str">
        <f t="shared" si="7"/>
        <v/>
      </c>
      <c r="M49" s="330"/>
      <c r="N49" s="329"/>
      <c r="O49" s="547"/>
      <c r="P49" s="508"/>
      <c r="R49" s="410"/>
      <c r="T49" s="363" t="str">
        <f>IF(C49="","",VLOOKUP(D49,'9. All Habitats + Multipliers'!$C$4:$K$102,5,FALSE))</f>
        <v/>
      </c>
      <c r="U49" s="362"/>
      <c r="V49" s="580" t="str">
        <f>IF(T49="","",VLOOKUP(T49,'11. Lists'!$B$47:$D$49,2,FALSE))</f>
        <v/>
      </c>
      <c r="W49" s="669" t="str">
        <f t="shared" si="8"/>
        <v/>
      </c>
      <c r="X49" s="580" t="str">
        <f>IF(W49="","",VLOOKUP(W49,'11. Lists'!$F$47:$G$51,2,FALSE))</f>
        <v/>
      </c>
      <c r="Y49" s="534"/>
      <c r="Z49" s="534"/>
      <c r="AA49" s="534"/>
      <c r="AB49" s="579" t="str">
        <f t="shared" si="9"/>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2:53" s="520" customFormat="1" ht="15.6" customHeight="1" x14ac:dyDescent="0.25">
      <c r="B50" s="744">
        <v>11</v>
      </c>
      <c r="C50" s="564"/>
      <c r="D50" s="559"/>
      <c r="E50" s="822" t="str">
        <f>IF(D50="","",VLOOKUP(D50,'10. Condition and Temporal'!$B$6:$D$103,3,FALSE))</f>
        <v/>
      </c>
      <c r="F50" s="328"/>
      <c r="G50" s="327"/>
      <c r="H50" s="557"/>
      <c r="I50" s="334"/>
      <c r="J50" s="333"/>
      <c r="K50" s="332"/>
      <c r="L50" s="331" t="str">
        <f t="shared" si="7"/>
        <v/>
      </c>
      <c r="M50" s="330"/>
      <c r="N50" s="329"/>
      <c r="O50" s="547"/>
      <c r="P50" s="508"/>
      <c r="R50" s="410"/>
      <c r="T50" s="363" t="str">
        <f>IF(C50="","",VLOOKUP(D50,'9. All Habitats + Multipliers'!$C$4:$K$102,5,FALSE))</f>
        <v/>
      </c>
      <c r="U50" s="362"/>
      <c r="V50" s="580" t="str">
        <f>IF(T50="","",VLOOKUP(T50,'11. Lists'!$B$47:$D$49,2,FALSE))</f>
        <v/>
      </c>
      <c r="W50" s="669" t="str">
        <f t="shared" si="8"/>
        <v/>
      </c>
      <c r="X50" s="580" t="str">
        <f>IF(W50="","",VLOOKUP(W50,'11. Lists'!$F$47:$G$51,2,FALSE))</f>
        <v/>
      </c>
      <c r="Y50" s="534"/>
      <c r="Z50" s="534"/>
      <c r="AA50" s="534"/>
      <c r="AB50" s="579" t="str">
        <f t="shared" si="9"/>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2:53" s="520" customFormat="1" ht="15.6" customHeight="1" x14ac:dyDescent="0.25">
      <c r="B51" s="744">
        <v>12</v>
      </c>
      <c r="C51" s="564"/>
      <c r="D51" s="559"/>
      <c r="E51" s="822" t="str">
        <f>IF(D51="","",VLOOKUP(D51,'10. Condition and Temporal'!$B$6:$D$103,3,FALSE))</f>
        <v/>
      </c>
      <c r="F51" s="328"/>
      <c r="G51" s="327"/>
      <c r="H51" s="557"/>
      <c r="I51" s="334"/>
      <c r="J51" s="333"/>
      <c r="K51" s="332"/>
      <c r="L51" s="331" t="str">
        <f t="shared" si="7"/>
        <v/>
      </c>
      <c r="M51" s="330"/>
      <c r="N51" s="329"/>
      <c r="O51" s="547"/>
      <c r="P51" s="508"/>
      <c r="R51" s="410"/>
      <c r="T51" s="363" t="str">
        <f>IF(C51="","",VLOOKUP(D51,'9. All Habitats + Multipliers'!$C$4:$K$102,5,FALSE))</f>
        <v/>
      </c>
      <c r="U51" s="362"/>
      <c r="V51" s="580" t="str">
        <f>IF(T51="","",VLOOKUP(T51,'11. Lists'!$B$47:$D$49,2,FALSE))</f>
        <v/>
      </c>
      <c r="W51" s="669" t="str">
        <f t="shared" si="8"/>
        <v/>
      </c>
      <c r="X51" s="580" t="str">
        <f>IF(W51="","",VLOOKUP(W51,'11. Lists'!$F$47:$G$51,2,FALSE))</f>
        <v/>
      </c>
      <c r="Y51" s="534"/>
      <c r="Z51" s="534"/>
      <c r="AA51" s="534"/>
      <c r="AB51" s="579" t="str">
        <f t="shared" si="9"/>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2:53" s="520" customFormat="1" ht="15.6" customHeight="1" x14ac:dyDescent="0.25">
      <c r="B52" s="744">
        <v>13</v>
      </c>
      <c r="C52" s="564"/>
      <c r="D52" s="559"/>
      <c r="E52" s="822" t="str">
        <f>IF(D52="","",VLOOKUP(D52,'10. Condition and Temporal'!$B$6:$D$103,3,FALSE))</f>
        <v/>
      </c>
      <c r="F52" s="328"/>
      <c r="G52" s="327"/>
      <c r="H52" s="557"/>
      <c r="I52" s="334"/>
      <c r="J52" s="333"/>
      <c r="K52" s="332"/>
      <c r="L52" s="331" t="str">
        <f t="shared" si="7"/>
        <v/>
      </c>
      <c r="M52" s="330"/>
      <c r="N52" s="329"/>
      <c r="O52" s="547"/>
      <c r="P52" s="508"/>
      <c r="R52" s="410"/>
      <c r="T52" s="363" t="str">
        <f>IF(C52="","",VLOOKUP(D52,'9. All Habitats + Multipliers'!$C$4:$K$102,5,FALSE))</f>
        <v/>
      </c>
      <c r="U52" s="362"/>
      <c r="V52" s="580" t="str">
        <f>IF(T52="","",VLOOKUP(T52,'11. Lists'!$B$47:$D$49,2,FALSE))</f>
        <v/>
      </c>
      <c r="W52" s="669" t="str">
        <f t="shared" si="8"/>
        <v/>
      </c>
      <c r="X52" s="580" t="str">
        <f>IF(W52="","",VLOOKUP(W52,'11. Lists'!$F$47:$G$51,2,FALSE))</f>
        <v/>
      </c>
      <c r="Y52" s="534"/>
      <c r="Z52" s="534"/>
      <c r="AA52" s="534"/>
      <c r="AB52" s="579" t="str">
        <f t="shared" si="9"/>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2:53" s="520" customFormat="1" ht="15.6" customHeight="1" x14ac:dyDescent="0.25">
      <c r="B53" s="744">
        <v>14</v>
      </c>
      <c r="C53" s="564"/>
      <c r="D53" s="559"/>
      <c r="E53" s="822" t="str">
        <f>IF(D53="","",VLOOKUP(D53,'10. Condition and Temporal'!$B$6:$D$103,3,FALSE))</f>
        <v/>
      </c>
      <c r="F53" s="328"/>
      <c r="G53" s="327"/>
      <c r="H53" s="557"/>
      <c r="I53" s="334"/>
      <c r="J53" s="333"/>
      <c r="K53" s="332"/>
      <c r="L53" s="331" t="str">
        <f t="shared" si="7"/>
        <v/>
      </c>
      <c r="M53" s="330"/>
      <c r="N53" s="329"/>
      <c r="O53" s="547"/>
      <c r="P53" s="508"/>
      <c r="R53" s="410"/>
      <c r="T53" s="363" t="str">
        <f>IF(C53="","",VLOOKUP(D53,'9. All Habitats + Multipliers'!$C$4:$K$102,5,FALSE))</f>
        <v/>
      </c>
      <c r="U53" s="362"/>
      <c r="V53" s="580" t="str">
        <f>IF(T53="","",VLOOKUP(T53,'11. Lists'!$B$47:$D$49,2,FALSE))</f>
        <v/>
      </c>
      <c r="W53" s="669" t="str">
        <f t="shared" si="8"/>
        <v/>
      </c>
      <c r="X53" s="580" t="str">
        <f>IF(W53="","",VLOOKUP(W53,'11. Lists'!$F$47:$G$51,2,FALSE))</f>
        <v/>
      </c>
      <c r="Y53" s="534"/>
      <c r="Z53" s="534"/>
      <c r="AA53" s="534"/>
      <c r="AB53" s="579" t="str">
        <f t="shared" si="9"/>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2:53" s="520" customFormat="1" ht="15.6" customHeight="1" x14ac:dyDescent="0.25">
      <c r="B54" s="744">
        <v>15</v>
      </c>
      <c r="C54" s="564"/>
      <c r="D54" s="559"/>
      <c r="E54" s="822" t="str">
        <f>IF(D54="","",VLOOKUP(D54,'10. Condition and Temporal'!$B$6:$D$103,3,FALSE))</f>
        <v/>
      </c>
      <c r="F54" s="328"/>
      <c r="G54" s="327"/>
      <c r="H54" s="557"/>
      <c r="I54" s="334"/>
      <c r="J54" s="333"/>
      <c r="K54" s="332"/>
      <c r="L54" s="331" t="str">
        <f t="shared" si="7"/>
        <v/>
      </c>
      <c r="M54" s="330"/>
      <c r="N54" s="329"/>
      <c r="O54" s="547"/>
      <c r="P54" s="508"/>
      <c r="R54" s="410"/>
      <c r="T54" s="363" t="str">
        <f>IF(C54="","",VLOOKUP(D54,'9. All Habitats + Multipliers'!$C$4:$K$102,5,FALSE))</f>
        <v/>
      </c>
      <c r="U54" s="362"/>
      <c r="V54" s="580" t="str">
        <f>IF(T54="","",VLOOKUP(T54,'11. Lists'!$B$47:$D$49,2,FALSE))</f>
        <v/>
      </c>
      <c r="W54" s="669" t="str">
        <f t="shared" si="8"/>
        <v/>
      </c>
      <c r="X54" s="580" t="str">
        <f>IF(W54="","",VLOOKUP(W54,'11. Lists'!$F$47:$G$51,2,FALSE))</f>
        <v/>
      </c>
      <c r="Y54" s="534"/>
      <c r="Z54" s="534"/>
      <c r="AA54" s="534"/>
      <c r="AB54" s="579" t="str">
        <f t="shared" si="9"/>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2:53" s="520" customFormat="1" ht="15.6" customHeight="1" x14ac:dyDescent="0.25">
      <c r="B55" s="744">
        <v>16</v>
      </c>
      <c r="C55" s="564"/>
      <c r="D55" s="559"/>
      <c r="E55" s="822" t="str">
        <f>IF(D55="","",VLOOKUP(D55,'10. Condition and Temporal'!$B$6:$D$103,3,FALSE))</f>
        <v/>
      </c>
      <c r="F55" s="328"/>
      <c r="G55" s="327"/>
      <c r="H55" s="557"/>
      <c r="I55" s="334"/>
      <c r="J55" s="333"/>
      <c r="K55" s="332"/>
      <c r="L55" s="331" t="str">
        <f t="shared" si="7"/>
        <v/>
      </c>
      <c r="M55" s="330"/>
      <c r="N55" s="329"/>
      <c r="O55" s="547"/>
      <c r="P55" s="508"/>
      <c r="R55" s="410"/>
      <c r="T55" s="363" t="str">
        <f>IF(C55="","",VLOOKUP(D55,'9. All Habitats + Multipliers'!$C$4:$K$102,5,FALSE))</f>
        <v/>
      </c>
      <c r="U55" s="362"/>
      <c r="V55" s="580" t="str">
        <f>IF(T55="","",VLOOKUP(T55,'11. Lists'!$B$47:$D$49,2,FALSE))</f>
        <v/>
      </c>
      <c r="W55" s="669" t="str">
        <f t="shared" si="8"/>
        <v/>
      </c>
      <c r="X55" s="580" t="str">
        <f>IF(W55="","",VLOOKUP(W55,'11. Lists'!$F$47:$G$51,2,FALSE))</f>
        <v/>
      </c>
      <c r="Y55" s="534"/>
      <c r="Z55" s="534"/>
      <c r="AA55" s="534"/>
      <c r="AB55" s="579" t="str">
        <f t="shared" si="9"/>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2:53" s="520" customFormat="1" ht="15.6" customHeight="1" x14ac:dyDescent="0.25">
      <c r="B56" s="744">
        <v>17</v>
      </c>
      <c r="C56" s="564"/>
      <c r="D56" s="559"/>
      <c r="E56" s="822" t="str">
        <f>IF(D56="","",VLOOKUP(D56,'10. Condition and Temporal'!$B$6:$D$103,3,FALSE))</f>
        <v/>
      </c>
      <c r="F56" s="328"/>
      <c r="G56" s="327"/>
      <c r="H56" s="557"/>
      <c r="I56" s="334"/>
      <c r="J56" s="333"/>
      <c r="K56" s="332"/>
      <c r="L56" s="331" t="str">
        <f t="shared" si="7"/>
        <v/>
      </c>
      <c r="M56" s="330"/>
      <c r="N56" s="329"/>
      <c r="O56" s="547"/>
      <c r="P56" s="508"/>
      <c r="R56" s="410"/>
      <c r="T56" s="363" t="str">
        <f>IF(C56="","",VLOOKUP(D56,'9. All Habitats + Multipliers'!$C$4:$K$102,5,FALSE))</f>
        <v/>
      </c>
      <c r="U56" s="362"/>
      <c r="V56" s="580" t="str">
        <f>IF(T56="","",VLOOKUP(T56,'11. Lists'!$B$47:$D$49,2,FALSE))</f>
        <v/>
      </c>
      <c r="W56" s="669" t="str">
        <f t="shared" si="8"/>
        <v/>
      </c>
      <c r="X56" s="580" t="str">
        <f>IF(W56="","",VLOOKUP(W56,'11. Lists'!$F$47:$G$51,2,FALSE))</f>
        <v/>
      </c>
      <c r="Y56" s="534"/>
      <c r="Z56" s="534"/>
      <c r="AA56" s="534"/>
      <c r="AB56" s="579" t="str">
        <f t="shared" si="9"/>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2:53" s="520" customFormat="1" ht="15.6" customHeight="1" x14ac:dyDescent="0.25">
      <c r="B57" s="744">
        <v>18</v>
      </c>
      <c r="C57" s="564"/>
      <c r="D57" s="559"/>
      <c r="E57" s="822" t="str">
        <f>IF(D57="","",VLOOKUP(D57,'10. Condition and Temporal'!$B$6:$D$103,3,FALSE))</f>
        <v/>
      </c>
      <c r="F57" s="328"/>
      <c r="G57" s="327"/>
      <c r="H57" s="557"/>
      <c r="I57" s="334"/>
      <c r="J57" s="333"/>
      <c r="K57" s="332"/>
      <c r="L57" s="331" t="str">
        <f t="shared" si="7"/>
        <v/>
      </c>
      <c r="M57" s="330"/>
      <c r="N57" s="329"/>
      <c r="O57" s="547"/>
      <c r="P57" s="508"/>
      <c r="R57" s="410"/>
      <c r="T57" s="363" t="str">
        <f>IF(C57="","",VLOOKUP(D57,'9. All Habitats + Multipliers'!$C$4:$K$102,5,FALSE))</f>
        <v/>
      </c>
      <c r="U57" s="362"/>
      <c r="V57" s="580" t="str">
        <f>IF(T57="","",VLOOKUP(T57,'11. Lists'!$B$47:$D$49,2,FALSE))</f>
        <v/>
      </c>
      <c r="W57" s="669" t="str">
        <f t="shared" si="8"/>
        <v/>
      </c>
      <c r="X57" s="580" t="str">
        <f>IF(W57="","",VLOOKUP(W57,'11. Lists'!$F$47:$G$51,2,FALSE))</f>
        <v/>
      </c>
      <c r="Y57" s="534"/>
      <c r="Z57" s="534"/>
      <c r="AA57" s="534"/>
      <c r="AB57" s="579" t="str">
        <f t="shared" si="9"/>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2:53" s="520" customFormat="1" ht="15.6" customHeight="1" x14ac:dyDescent="0.25">
      <c r="B58" s="744">
        <v>19</v>
      </c>
      <c r="C58" s="564"/>
      <c r="D58" s="559"/>
      <c r="E58" s="822" t="str">
        <f>IF(D58="","",VLOOKUP(D58,'10. Condition and Temporal'!$B$6:$D$103,3,FALSE))</f>
        <v/>
      </c>
      <c r="F58" s="328"/>
      <c r="G58" s="327"/>
      <c r="H58" s="557"/>
      <c r="I58" s="334"/>
      <c r="J58" s="333"/>
      <c r="K58" s="332"/>
      <c r="L58" s="331" t="str">
        <f t="shared" si="7"/>
        <v/>
      </c>
      <c r="M58" s="330"/>
      <c r="N58" s="329"/>
      <c r="O58" s="547"/>
      <c r="P58" s="508"/>
      <c r="R58" s="410"/>
      <c r="T58" s="363" t="str">
        <f>IF(C58="","",VLOOKUP(D58,'9. All Habitats + Multipliers'!$C$4:$K$102,5,FALSE))</f>
        <v/>
      </c>
      <c r="U58" s="362"/>
      <c r="V58" s="580" t="str">
        <f>IF(T58="","",VLOOKUP(T58,'11. Lists'!$B$47:$D$49,2,FALSE))</f>
        <v/>
      </c>
      <c r="W58" s="669" t="str">
        <f t="shared" si="8"/>
        <v/>
      </c>
      <c r="X58" s="580" t="str">
        <f>IF(W58="","",VLOOKUP(W58,'11. Lists'!$F$47:$G$51,2,FALSE))</f>
        <v/>
      </c>
      <c r="Y58" s="534"/>
      <c r="Z58" s="534"/>
      <c r="AA58" s="534"/>
      <c r="AB58" s="579" t="str">
        <f t="shared" si="9"/>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2:53" s="520" customFormat="1" ht="16.149999999999999" customHeight="1" x14ac:dyDescent="0.25">
      <c r="B59" s="746">
        <v>20</v>
      </c>
      <c r="C59" s="564"/>
      <c r="D59" s="559"/>
      <c r="E59" s="822" t="str">
        <f>IF(D59="","",VLOOKUP(D59,'10. Condition and Temporal'!$B$6:$D$103,3,FALSE))</f>
        <v/>
      </c>
      <c r="F59" s="328"/>
      <c r="G59" s="327"/>
      <c r="H59" s="565"/>
      <c r="I59" s="334"/>
      <c r="J59" s="333"/>
      <c r="K59" s="332"/>
      <c r="L59" s="331" t="str">
        <f t="shared" si="7"/>
        <v/>
      </c>
      <c r="M59" s="330"/>
      <c r="N59" s="329"/>
      <c r="O59" s="517"/>
      <c r="P59" s="502"/>
      <c r="R59" s="410"/>
      <c r="T59" s="363" t="str">
        <f>IF(C59="","",VLOOKUP(D59,'9. All Habitats + Multipliers'!$C$4:$K$102,5,FALSE))</f>
        <v/>
      </c>
      <c r="U59" s="362"/>
      <c r="V59" s="580" t="str">
        <f>IF(T59="","",VLOOKUP(T59,'11. Lists'!$B$47:$D$49,2,FALSE))</f>
        <v/>
      </c>
      <c r="W59" s="669" t="str">
        <f t="shared" si="8"/>
        <v/>
      </c>
      <c r="X59" s="580" t="str">
        <f>IF(W59="","",VLOOKUP(W59,'11. Lists'!$F$47:$G$51,2,FALSE))</f>
        <v/>
      </c>
      <c r="Y59" s="534"/>
      <c r="Z59" s="534"/>
      <c r="AA59" s="534"/>
      <c r="AB59" s="579" t="str">
        <f t="shared" si="9"/>
        <v/>
      </c>
      <c r="AC59" s="581" t="str">
        <f>IF(AB59="","",VLOOKUP(AB59,'11. Lists'!$F$36:$H$38,2,FALSE))</f>
        <v/>
      </c>
      <c r="AD59" s="580" t="str">
        <f>IF(AB59="","",VLOOKUP(AB59,'11. Lists'!$F$36:$H$38,3,FALSE))</f>
        <v/>
      </c>
      <c r="AE59" s="579"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593" t="str">
        <f>IF(AE59="","",VLOOKUP(AE59,'11. Lists'!$I$47:$K$80,3,FALSE))</f>
        <v/>
      </c>
      <c r="AG59" s="579" t="str">
        <f>IF(D59="","",VLOOKUP(D59,'9. All Habitats + Multipliers'!$C$4:$K$102,7,FALSE))</f>
        <v/>
      </c>
      <c r="AH59" s="580" t="str">
        <f>IF(AG59="","",VLOOKUP(AG59,'11. Lists'!$J$35:$K$38,2,FALSE))</f>
        <v/>
      </c>
    </row>
    <row r="60" spans="2:53" s="520" customFormat="1" ht="29.45" customHeight="1" x14ac:dyDescent="0.25">
      <c r="B60" s="747" t="s">
        <v>104</v>
      </c>
      <c r="C60" s="583" t="s">
        <v>105</v>
      </c>
      <c r="D60" s="594" t="s">
        <v>106</v>
      </c>
      <c r="E60" s="595" t="s">
        <v>126</v>
      </c>
      <c r="F60" s="326" t="s">
        <v>126</v>
      </c>
      <c r="G60" s="356"/>
      <c r="H60" s="1028" t="s">
        <v>188</v>
      </c>
      <c r="I60" s="325">
        <f>O99</f>
        <v>284.86079999999998</v>
      </c>
      <c r="J60" s="324"/>
      <c r="K60" s="323"/>
      <c r="L60" s="322">
        <f>IF(D60="","",((I60/10000)*(V60*X60))*(AH60*AF60)*AD60)</f>
        <v>8.7088364952390127E-2</v>
      </c>
      <c r="M60" s="321"/>
      <c r="N60" s="320"/>
      <c r="O60" s="528"/>
      <c r="P60" s="529"/>
      <c r="R60" s="410"/>
      <c r="T60" s="352" t="str">
        <f>IF(C60="","",VLOOKUP(D60,'9. All Habitats + Multipliers'!$C$4:$K$102,5,FALSE))</f>
        <v>Medium</v>
      </c>
      <c r="U60" s="351"/>
      <c r="V60" s="585">
        <f>IF(T60="","",VLOOKUP(T60,'11. Lists'!$B$47:$D$49,2,FALSE))</f>
        <v>4</v>
      </c>
      <c r="W60" s="825" t="str">
        <f t="shared" si="8"/>
        <v>Moderate</v>
      </c>
      <c r="X60" s="585">
        <f>IF(W60="","",VLOOKUP(W60,'11. Lists'!$F$47:$G$51,2,FALSE))</f>
        <v>2</v>
      </c>
      <c r="Y60" s="534"/>
      <c r="Z60" s="534"/>
      <c r="AA60" s="534"/>
      <c r="AB60" s="584" t="str">
        <f t="shared" si="9"/>
        <v>Area/compensation not in local strategy/ no local strategy</v>
      </c>
      <c r="AC60" s="586" t="str">
        <f>IF(AB60="","",VLOOKUP(AB60,'11. Lists'!$F$36:$H$38,2,FALSE))</f>
        <v>Low Strategic Significance</v>
      </c>
      <c r="AD60" s="585">
        <f>IF(AB60="","",VLOOKUP(AB60,'11. Lists'!$F$36:$H$38,3,FALSE))</f>
        <v>1</v>
      </c>
      <c r="AE60" s="584">
        <f>IF(F60="","",IF(F60="Moderate",VLOOKUP(D60,'10. Condition and Temporal'!$B$6:$L$103,6,FALSE),IF('5. Area Habitats'!F60="Good",VLOOKUP(D60,'10. Condition and Temporal'!$B$6:$L$103,7,FALSE),VLOOKUP(D60,'10. Condition and Temporal'!$B$6:$L$103,8,FALSE))))</f>
        <v>27</v>
      </c>
      <c r="AF60" s="596">
        <f>IF(AE60="","",VLOOKUP(AE60,'11. Lists'!$I$47:$K$80,3,FALSE))</f>
        <v>0.38215316459999998</v>
      </c>
      <c r="AG60" s="584" t="str">
        <f>IF(D60="","",VLOOKUP(D60,'9. All Habitats + Multipliers'!$C$4:$K$102,7,FALSE))</f>
        <v>Low</v>
      </c>
      <c r="AH60" s="585">
        <f>IF(AG60="","",VLOOKUP(AG60,'11. Lists'!$J$35:$K$38,2,FALSE))</f>
        <v>1</v>
      </c>
    </row>
    <row r="61" spans="2:53" s="520" customFormat="1" ht="15" customHeight="1" x14ac:dyDescent="0.25">
      <c r="H61" s="977" t="s">
        <v>108</v>
      </c>
      <c r="I61" s="319">
        <f>SUMIFS(I40:I59,D40:D59,"&lt;&gt;"&amp;'11. Lists'!Q10,D40:D59,"&lt;&gt;"&amp;'11. Lists'!Q11,D40:D59,"&lt;&gt;"&amp;'11. Lists'!I4,D40:D59,"&lt;&gt;"&amp;'11. Lists'!I2,D40:D59,"&lt;&gt;"&amp;'11. Lists'!I3)</f>
        <v>245.21359999999999</v>
      </c>
      <c r="J61" s="318"/>
      <c r="K61" s="317"/>
      <c r="L61" s="316">
        <f>SUM(L40:N60)</f>
        <v>8.7088364952390127E-2</v>
      </c>
      <c r="M61" s="315"/>
      <c r="N61" s="314"/>
      <c r="R61" s="410"/>
    </row>
    <row r="62" spans="2:53" s="520" customFormat="1" ht="15" customHeight="1" x14ac:dyDescent="0.25">
      <c r="H62" s="748" t="s">
        <v>127</v>
      </c>
      <c r="I62" s="313" t="str">
        <f>IF(M32=0,"Areas Acceptable ✓",IF(OR(I61-M32&lt;=-0.001,(I61-M32&gt;=0.001)),("Error - Area of habitat creation must match area lost ▲"),("Areas Acceptable ✓")))</f>
        <v>Areas Acceptable ✓</v>
      </c>
      <c r="J62" s="312"/>
      <c r="K62" s="312"/>
      <c r="L62" s="312"/>
      <c r="M62" s="312"/>
      <c r="N62" s="311"/>
      <c r="O62" s="643">
        <f>IFERROR(FIND("Error",I62),0)</f>
        <v>0</v>
      </c>
      <c r="R62" s="410"/>
    </row>
    <row r="63" spans="2:53" s="520" customFormat="1" x14ac:dyDescent="0.25">
      <c r="I63" s="914">
        <f>SUM($I$40:$K$60)</f>
        <v>530.07439999999997</v>
      </c>
      <c r="R63" s="410"/>
      <c r="BA63" s="536" t="s">
        <v>128</v>
      </c>
    </row>
    <row r="64" spans="2:53" s="520" customFormat="1" ht="21" customHeight="1" x14ac:dyDescent="0.35">
      <c r="B64" s="543" t="s">
        <v>129</v>
      </c>
      <c r="D64" s="574"/>
      <c r="H64" s="521"/>
      <c r="R64" s="410"/>
      <c r="BA64" s="536" t="s">
        <v>130</v>
      </c>
    </row>
    <row r="65" spans="1:76" s="520" customFormat="1" ht="15" customHeight="1" x14ac:dyDescent="0.25">
      <c r="A65" s="575"/>
      <c r="R65" s="410" t="s">
        <v>67</v>
      </c>
    </row>
    <row r="66" spans="1:76" s="520" customFormat="1" ht="16.149999999999999" customHeight="1" x14ac:dyDescent="0.25">
      <c r="A66" s="575"/>
      <c r="B66" s="310" t="s">
        <v>131</v>
      </c>
      <c r="C66" s="381" t="s">
        <v>132</v>
      </c>
      <c r="D66" s="379"/>
      <c r="E66" s="393" t="s">
        <v>133</v>
      </c>
      <c r="F66" s="392"/>
      <c r="G66" s="391"/>
      <c r="H66" s="308" t="s">
        <v>134</v>
      </c>
      <c r="I66" s="308" t="s">
        <v>135</v>
      </c>
      <c r="J66" s="306" t="s">
        <v>136</v>
      </c>
      <c r="K66" s="305"/>
      <c r="L66" s="381" t="s">
        <v>137</v>
      </c>
      <c r="M66" s="380" t="s">
        <v>138</v>
      </c>
      <c r="N66" s="379"/>
      <c r="O66" s="299" t="s">
        <v>80</v>
      </c>
      <c r="P66" s="374"/>
      <c r="R66" s="410"/>
      <c r="T66" s="298" t="s">
        <v>139</v>
      </c>
      <c r="U66" s="297"/>
      <c r="V66" s="297"/>
      <c r="W66" s="297"/>
      <c r="X66" s="297"/>
      <c r="Y66" s="297"/>
      <c r="Z66" s="297"/>
      <c r="AA66" s="297"/>
      <c r="AB66" s="297"/>
      <c r="AC66" s="297"/>
      <c r="AD66" s="296"/>
      <c r="AE66" s="308" t="s">
        <v>140</v>
      </c>
      <c r="AF66" s="298" t="s">
        <v>141</v>
      </c>
      <c r="AG66" s="297"/>
      <c r="AH66" s="297"/>
      <c r="AI66" s="297"/>
      <c r="AJ66" s="297"/>
      <c r="AK66" s="297"/>
      <c r="AL66" s="297"/>
      <c r="AM66" s="297"/>
      <c r="AN66" s="297"/>
      <c r="AO66" s="297"/>
      <c r="AP66" s="296"/>
      <c r="AQ66" s="295" t="s">
        <v>142</v>
      </c>
      <c r="AR66" s="298" t="s">
        <v>141</v>
      </c>
      <c r="AS66" s="297"/>
      <c r="AT66" s="297"/>
      <c r="AU66" s="297"/>
      <c r="AV66" s="297"/>
      <c r="AW66" s="297"/>
      <c r="AX66" s="297"/>
      <c r="AY66" s="938"/>
      <c r="BA66" s="640" t="s">
        <v>143</v>
      </c>
      <c r="BB66" s="670">
        <f t="shared" ref="BB66:BU66" si="10">COUNTIF(BB68:BB87,"?*")</f>
        <v>4</v>
      </c>
      <c r="BC66" s="670">
        <f t="shared" si="10"/>
        <v>0</v>
      </c>
      <c r="BD66" s="670">
        <f t="shared" si="10"/>
        <v>0</v>
      </c>
      <c r="BE66" s="670">
        <f t="shared" si="10"/>
        <v>0</v>
      </c>
      <c r="BF66" s="670">
        <f t="shared" si="10"/>
        <v>0</v>
      </c>
      <c r="BG66" s="670">
        <f t="shared" si="10"/>
        <v>0</v>
      </c>
      <c r="BH66" s="670">
        <f t="shared" si="10"/>
        <v>0</v>
      </c>
      <c r="BI66" s="670">
        <f t="shared" si="10"/>
        <v>0</v>
      </c>
      <c r="BJ66" s="670">
        <f t="shared" si="10"/>
        <v>0</v>
      </c>
      <c r="BK66" s="670">
        <f t="shared" si="10"/>
        <v>0</v>
      </c>
      <c r="BL66" s="670">
        <f t="shared" si="10"/>
        <v>0</v>
      </c>
      <c r="BM66" s="670">
        <f t="shared" si="10"/>
        <v>0</v>
      </c>
      <c r="BN66" s="670">
        <f t="shared" si="10"/>
        <v>0</v>
      </c>
      <c r="BO66" s="670">
        <f t="shared" si="10"/>
        <v>0</v>
      </c>
      <c r="BP66" s="670">
        <f t="shared" si="10"/>
        <v>0</v>
      </c>
      <c r="BQ66" s="670">
        <f t="shared" si="10"/>
        <v>0</v>
      </c>
      <c r="BR66" s="670">
        <f t="shared" si="10"/>
        <v>0</v>
      </c>
      <c r="BS66" s="670">
        <f t="shared" si="10"/>
        <v>0</v>
      </c>
      <c r="BT66" s="670">
        <f t="shared" si="10"/>
        <v>0</v>
      </c>
      <c r="BU66" s="670">
        <f t="shared" si="10"/>
        <v>0</v>
      </c>
    </row>
    <row r="67" spans="1:76" s="520" customFormat="1" ht="48.6" customHeight="1" x14ac:dyDescent="0.25">
      <c r="A67" s="575"/>
      <c r="B67" s="309"/>
      <c r="C67" s="691" t="s">
        <v>144</v>
      </c>
      <c r="D67" s="576" t="s">
        <v>145</v>
      </c>
      <c r="E67" s="572" t="s">
        <v>146</v>
      </c>
      <c r="F67" s="338" t="s">
        <v>147</v>
      </c>
      <c r="G67" s="337"/>
      <c r="H67" s="307"/>
      <c r="I67" s="307"/>
      <c r="J67" s="304"/>
      <c r="K67" s="303"/>
      <c r="L67" s="302"/>
      <c r="M67" s="301"/>
      <c r="N67" s="300"/>
      <c r="O67" s="681" t="s">
        <v>95</v>
      </c>
      <c r="P67" s="576" t="s">
        <v>96</v>
      </c>
      <c r="R67" s="410"/>
      <c r="T67" s="812" t="s">
        <v>148</v>
      </c>
      <c r="U67" s="831" t="s">
        <v>149</v>
      </c>
      <c r="V67" s="830" t="s">
        <v>150</v>
      </c>
      <c r="W67" s="983" t="s">
        <v>151</v>
      </c>
      <c r="X67" s="984" t="s">
        <v>152</v>
      </c>
      <c r="Y67" s="835"/>
      <c r="Z67" s="835"/>
      <c r="AA67" s="835"/>
      <c r="AB67" s="984" t="s">
        <v>153</v>
      </c>
      <c r="AC67" s="984" t="s">
        <v>154</v>
      </c>
      <c r="AD67" s="830" t="s">
        <v>155</v>
      </c>
      <c r="AE67" s="307"/>
      <c r="AF67" s="813" t="s">
        <v>148</v>
      </c>
      <c r="AG67" s="831" t="s">
        <v>97</v>
      </c>
      <c r="AH67" s="830" t="s">
        <v>98</v>
      </c>
      <c r="AI67" s="983" t="s">
        <v>99</v>
      </c>
      <c r="AJ67" s="839" t="s">
        <v>98</v>
      </c>
      <c r="AK67" s="826"/>
      <c r="AL67" s="826"/>
      <c r="AM67" s="826"/>
      <c r="AN67" s="840" t="s">
        <v>83</v>
      </c>
      <c r="AO67" s="984" t="s">
        <v>83</v>
      </c>
      <c r="AP67" s="994" t="s">
        <v>100</v>
      </c>
      <c r="AQ67" s="294"/>
      <c r="AR67" s="830" t="s">
        <v>156</v>
      </c>
      <c r="AS67" s="831" t="s">
        <v>157</v>
      </c>
      <c r="AT67" s="830" t="s">
        <v>158</v>
      </c>
      <c r="AU67" s="832" t="s">
        <v>159</v>
      </c>
      <c r="AV67" s="830" t="s">
        <v>160</v>
      </c>
      <c r="AW67" s="811" t="s">
        <v>161</v>
      </c>
      <c r="AX67" s="936" t="s">
        <v>162</v>
      </c>
      <c r="AY67" s="939" t="s">
        <v>163</v>
      </c>
      <c r="BA67" s="569" t="s">
        <v>164</v>
      </c>
      <c r="BB67" s="654">
        <v>1</v>
      </c>
      <c r="BC67" s="654">
        <v>2</v>
      </c>
      <c r="BD67" s="654">
        <v>3</v>
      </c>
      <c r="BE67" s="654">
        <v>4</v>
      </c>
      <c r="BF67" s="654">
        <v>5</v>
      </c>
      <c r="BG67" s="654">
        <v>6</v>
      </c>
      <c r="BH67" s="654">
        <v>7</v>
      </c>
      <c r="BI67" s="654">
        <v>8</v>
      </c>
      <c r="BJ67" s="654">
        <v>9</v>
      </c>
      <c r="BK67" s="654">
        <v>10</v>
      </c>
      <c r="BL67" s="654">
        <v>11</v>
      </c>
      <c r="BM67" s="654">
        <v>12</v>
      </c>
      <c r="BN67" s="654">
        <v>13</v>
      </c>
      <c r="BO67" s="654">
        <v>14</v>
      </c>
      <c r="BP67" s="654">
        <v>15</v>
      </c>
      <c r="BQ67" s="654">
        <v>16</v>
      </c>
      <c r="BR67" s="654">
        <v>17</v>
      </c>
      <c r="BS67" s="654">
        <v>18</v>
      </c>
      <c r="BT67" s="654">
        <v>19</v>
      </c>
      <c r="BU67" s="654">
        <v>20</v>
      </c>
      <c r="BV67" s="668" t="s">
        <v>165</v>
      </c>
      <c r="BW67" s="654" t="s">
        <v>166</v>
      </c>
      <c r="BX67" s="654" t="s">
        <v>167</v>
      </c>
    </row>
    <row r="68" spans="1:76" s="520" customFormat="1" ht="15.6" customHeight="1" x14ac:dyDescent="0.25">
      <c r="A68" s="575"/>
      <c r="B68" s="743">
        <v>1</v>
      </c>
      <c r="C68" s="687" t="str">
        <f t="shared" ref="C68:C87" si="11">IF(D68="","",C11)</f>
        <v>Grassland</v>
      </c>
      <c r="D68" s="688" t="str">
        <f t="shared" ref="D68:D87" si="12">IF(OR(K11=0, K11=""),"",D11)</f>
        <v>Modified grassland</v>
      </c>
      <c r="E68" s="689" t="str">
        <f t="shared" ref="E68:E88" si="13">IF(AX68="","",AX68)</f>
        <v>Condition</v>
      </c>
      <c r="F68" s="368" t="s">
        <v>321</v>
      </c>
      <c r="G68" s="367"/>
      <c r="H68" s="648" t="str">
        <f t="shared" ref="H68:H87" si="14">IF(D68="","",AB68)</f>
        <v>Area/compensation not in local strategy/ no local strategy</v>
      </c>
      <c r="I68" s="801">
        <f t="shared" ref="I68:I87" si="15">IF(OR(K11="", K11=0),"",K11)</f>
        <v>209.71680000000001</v>
      </c>
      <c r="J68" s="293" t="str">
        <f>IFERROR(IF(F68="","",VLOOKUP(F68,'10. Condition and Temporal'!$B$6:$F$103,5,FALSE)), "Error ▲")</f>
        <v>Good</v>
      </c>
      <c r="K68" s="292"/>
      <c r="L68" s="763">
        <f t="shared" ref="L68:L87" si="16">IFERROR(IF(D68="","",IF(AX68="Distinctiveness",(((((I68*AH68*AJ68)-(I68*V68*X68))*(AV68*AT68))+(I68*V68*X68))*(AP68))/10000,((((I68*AJ68*AH68)-(I68*V68*X68))*(AV68*AR68))+(I68*V68*X68))*AP68/10000)),"Error ▲")</f>
        <v>0.11325891152838931</v>
      </c>
      <c r="M68" s="330">
        <f t="shared" ref="M68:M87" si="17">IFERROR(IF(F68="","",L68-AD68), "Error ▲")</f>
        <v>2.937219152838931E-2</v>
      </c>
      <c r="N68" s="291"/>
      <c r="O68" s="690"/>
      <c r="P68" s="497"/>
      <c r="R68" s="410"/>
      <c r="T68" s="662">
        <f t="shared" ref="T68:T88" si="18">IF(D68="","",K11)</f>
        <v>209.71680000000001</v>
      </c>
      <c r="U68" s="841" t="str">
        <f t="shared" ref="U68:U88" si="19">IF($D68="","",T11)</f>
        <v>Low</v>
      </c>
      <c r="V68" s="843">
        <f t="shared" ref="V68:X88" si="20">IF($D68="","",V11)</f>
        <v>2</v>
      </c>
      <c r="W68" s="841" t="str">
        <f t="shared" si="20"/>
        <v>Moderate</v>
      </c>
      <c r="X68" s="843">
        <f t="shared" si="20"/>
        <v>2</v>
      </c>
      <c r="Y68" s="852"/>
      <c r="Z68" s="823"/>
      <c r="AA68" s="985"/>
      <c r="AB68" s="841" t="str">
        <f t="shared" ref="AB68:AB88" si="21">IF($D68="","",AB11)</f>
        <v>Area/compensation not in local strategy/ no local strategy</v>
      </c>
      <c r="AC68" s="843">
        <f t="shared" ref="AC68:AC88" si="22">IF($D68="","",AD11)</f>
        <v>1</v>
      </c>
      <c r="AD68" s="988">
        <f t="shared" ref="AD68:AD87" si="23">IF(AC68="","",(T68*V68*X68)*AC68/10000)</f>
        <v>8.3886719999999998E-2</v>
      </c>
      <c r="AE68" s="988" t="str">
        <f t="shared" ref="AE68:AE88" si="24">IF(AD68="","",IF(AH68&lt;V68,"Not Acceptable","Acceptable"))</f>
        <v>Acceptable</v>
      </c>
      <c r="AF68" s="988">
        <f t="shared" ref="AF68:AF88" si="25">IF(D68="","",I68)</f>
        <v>209.71680000000001</v>
      </c>
      <c r="AG68" s="841" t="str">
        <f>IF(D68="","",VLOOKUP(F68,'9. All Habitats + Multipliers'!$C$4:$K$102,5,FALSE))</f>
        <v>Low</v>
      </c>
      <c r="AH68" s="991">
        <f>IF(AG68="","",VLOOKUP(AG68,'11. Lists'!$B$47:$D$49,2,FALSE))</f>
        <v>2</v>
      </c>
      <c r="AI68" s="841" t="str">
        <f t="shared" ref="AI68:AI88" si="26">IF(D68="","",J68)</f>
        <v>Good</v>
      </c>
      <c r="AJ68" s="843">
        <f>IF(AI68="","",VLOOKUP(AI68,'11. Lists'!$F$47:$G$51,2,FALSE))</f>
        <v>3</v>
      </c>
      <c r="AK68" s="993"/>
      <c r="AL68" s="842"/>
      <c r="AM68" s="996"/>
      <c r="AN68" s="841" t="str">
        <f t="shared" ref="AN68:AN88" si="27">IF(H68="","",H68)</f>
        <v>Area/compensation not in local strategy/ no local strategy</v>
      </c>
      <c r="AO68" s="997" t="str">
        <f>IF(AN68="","",VLOOKUP(AN68,'11. Lists'!$F$36:$H$38,2,FALSE))</f>
        <v>Low Strategic Significance</v>
      </c>
      <c r="AP68" s="843">
        <f>IF(AN68="","",VLOOKUP(AN68,'11. Lists'!$F$36:$H$38,3,FALSE))</f>
        <v>1</v>
      </c>
      <c r="AQ68" s="841">
        <f>IF(D68="","",IF(AX68="Distinctiveness","N/A",VLOOKUP(F68,'10. Condition and Temporal'!$B$6:$L$103,11,FALSE)))</f>
        <v>10</v>
      </c>
      <c r="AR68" s="998">
        <f>IF(AQ68="","",IF(AQ68="N/A","1",VLOOKUP(AQ68,'11. Lists'!$I$47:$K$80,3,FALSE)))</f>
        <v>0.7002822742</v>
      </c>
      <c r="AS68" s="1001" t="str">
        <f>IF(D68="","",IF(AX68="Condition","N/A",VLOOKUP(F68,'10. Condition and Temporal'!$B$6:$M$106,12,FALSE)))</f>
        <v>N/A</v>
      </c>
      <c r="AT68" s="998" t="str">
        <f>IF(AS68="","",IF(AS68="N/A","1",VLOOKUP(AS68,'11. Lists'!$I$47:$K$80,3,FALSE)))</f>
        <v>1</v>
      </c>
      <c r="AU68" s="841" t="str">
        <f>IF(D68="","",VLOOKUP(F68,'9. All Habitats + Multipliers'!$C$4:$K$102,8,FALSE))</f>
        <v>Low</v>
      </c>
      <c r="AV68" s="843">
        <f>IF(AU68="","",VLOOKUP(AU68,'11. Lists'!$J$35:$K$38,2,FALSE))</f>
        <v>1</v>
      </c>
      <c r="AW68" s="988" t="str">
        <f>IF(D68="","",VLOOKUP(D68,'10. Condition and Temporal'!$B$6:$M$103,4,FALSE))</f>
        <v>Modified grassland, Other lowland acid grassland, Other neutral grassland, Upland acid grassland</v>
      </c>
      <c r="AX68" s="988" t="str">
        <f t="shared" ref="AX68:AX87" si="28">IF(F68="","",IF(D68=F68,"Condition","Distinctiveness"))</f>
        <v>Condition</v>
      </c>
      <c r="AY68" s="940" t="str">
        <f t="shared" ref="AY68:AY87" si="29">IF(COUNTIF(F68,"*grassland*"),"Grassland",IF(COUNTIF(F68,"*scree*"),"Sparsely vegetated land",C68))</f>
        <v>Grassland</v>
      </c>
      <c r="BA68" s="579">
        <v>1</v>
      </c>
      <c r="BB68" s="581" t="str">
        <f t="shared" ref="BB68:BB87" si="30">TRIM(MID(SUBSTITUTE($AW$68,$BA$64,REPT(" ",LEN($AW$68))),($BA68-1)*LEN($AW$68)+1,LEN($AW$68)))</f>
        <v>Modified grassland</v>
      </c>
      <c r="BC68" s="581" t="str">
        <f t="shared" ref="BC68:BC87" si="31">TRIM(MID(SUBSTITUTE($AW$69,$BA$64,REPT(" ",LEN($AW$69))),($BA68-1)*LEN($AW$69)+1,LEN($AW$69)))</f>
        <v/>
      </c>
      <c r="BD68" s="581" t="str">
        <f t="shared" ref="BD68:BD87" si="32">TRIM(MID(SUBSTITUTE($AW$70,$BA$64,REPT(" ",LEN($AW$70))),($BA68-1)*LEN($AW$70)+1,LEN($AW$70)))</f>
        <v/>
      </c>
      <c r="BE68" s="581" t="str">
        <f t="shared" ref="BE68:BE87" si="33">TRIM(MID(SUBSTITUTE($AW$71,$BA$64,REPT(" ",LEN($AW$71))),($BA68-1)*LEN($AW$71)+1,LEN($AW$71)))</f>
        <v/>
      </c>
      <c r="BF68" s="581" t="str">
        <f t="shared" ref="BF68:BF87" si="34">TRIM(MID(SUBSTITUTE($AW$72,$BA$64,REPT(" ",LEN($AW$72))),($BA68-1)*LEN($AW$72)+1,LEN($AW$72)))</f>
        <v/>
      </c>
      <c r="BG68" s="581" t="str">
        <f t="shared" ref="BG68:BG87" si="35">TRIM(MID(SUBSTITUTE($AW$73,$BA$64,REPT(" ",LEN($AW$73))),($BA68-1)*LEN($AW$73)+1,LEN($AW$73)))</f>
        <v/>
      </c>
      <c r="BH68" s="581" t="str">
        <f t="shared" ref="BH68:BH87" si="36">TRIM(MID(SUBSTITUTE($AW$74,$BA$64,REPT(" ",LEN($AW$74))),($BA68-1)*LEN($AW$74)+1,LEN($AW$74)))</f>
        <v/>
      </c>
      <c r="BI68" s="581" t="str">
        <f t="shared" ref="BI68:BI87" si="37">TRIM(MID(SUBSTITUTE($AW$75,$BA$64,REPT(" ",LEN($AW$75))),($BA68-1)*LEN($AW$75)+1,LEN($AW$75)))</f>
        <v/>
      </c>
      <c r="BJ68" s="581" t="str">
        <f t="shared" ref="BJ68:BJ87" si="38">TRIM(MID(SUBSTITUTE($AW$76,$BA$64,REPT(" ",LEN($AW$76))),($BA68-1)*LEN($AW$76)+1,LEN($AW$76)))</f>
        <v/>
      </c>
      <c r="BK68" s="581" t="str">
        <f t="shared" ref="BK68:BK87" si="39">TRIM(MID(SUBSTITUTE($AW$77,$BA$64,REPT(" ",LEN($AW$77))),($BA68-1)*LEN($AW$77)+1,LEN($AW$77)))</f>
        <v/>
      </c>
      <c r="BL68" s="581" t="str">
        <f t="shared" ref="BL68:BL87" si="40">TRIM(MID(SUBSTITUTE($AW$78,$BA$64,REPT(" ",LEN($AW$78))),($BA68-1)*LEN($AW$78)+1,LEN($AW$78)))</f>
        <v/>
      </c>
      <c r="BM68" s="581" t="str">
        <f t="shared" ref="BM68:BM87" si="41">TRIM(MID(SUBSTITUTE($AW$79,$BA$64,REPT(" ",LEN($AW$79))),($BA68-1)*LEN($AW$79)+1,LEN($AW$79)))</f>
        <v/>
      </c>
      <c r="BN68" s="581" t="str">
        <f t="shared" ref="BN68:BN87" si="42">TRIM(MID(SUBSTITUTE($AW$80,$BA$64,REPT(" ",LEN($AW$80))),($BA68-1)*LEN($AW$80)+1,LEN($AW$80)))</f>
        <v/>
      </c>
      <c r="BO68" s="581" t="str">
        <f t="shared" ref="BO68:BO87" si="43">TRIM(MID(SUBSTITUTE($AW$81,$BA$64,REPT(" ",LEN($AW$81))),($BA68-1)*LEN($AW$81)+1,LEN($AW$81)))</f>
        <v/>
      </c>
      <c r="BP68" s="581" t="str">
        <f t="shared" ref="BP68:BP87" si="44">TRIM(MID(SUBSTITUTE($AW$82,$BA$64,REPT(" ",LEN($AW$82))),($BA68-1)*LEN($AW$82)+1,LEN($AW$82)))</f>
        <v/>
      </c>
      <c r="BQ68" s="581" t="str">
        <f t="shared" ref="BQ68:BQ87" si="45">TRIM(MID(SUBSTITUTE($AW$83,$BA$64,REPT(" ",LEN($AW$83))),($BA68-1)*LEN($AW$83)+1,LEN($AW$83)))</f>
        <v/>
      </c>
      <c r="BR68" s="581" t="str">
        <f t="shared" ref="BR68:BR87" si="46">TRIM(MID(SUBSTITUTE($AW$84,$BA$64,REPT(" ",LEN($AW$84))),($BA68-1)*LEN($AW$84)+1,LEN($AW$84)))</f>
        <v/>
      </c>
      <c r="BS68" s="581" t="str">
        <f t="shared" ref="BS68:BS87" si="47">TRIM(MID(SUBSTITUTE($AW$85,$BA$64,REPT(" ",LEN($AW$85))),($BA68-1)*LEN($AW$85)+1,LEN($AW$85)))</f>
        <v/>
      </c>
      <c r="BT68" s="581" t="str">
        <f t="shared" ref="BT68:BT87" si="48">TRIM(MID(SUBSTITUTE($AW$86,$BA$64,REPT(" ",LEN($AW$86))),($BA68-1)*LEN($AW$86)+1,LEN($AW$86)))</f>
        <v/>
      </c>
      <c r="BU68" s="580" t="str">
        <f t="shared" ref="BU68:BU87" si="49">TRIM(MID(SUBSTITUTE($AW$87,$BA$64,REPT(" ",LEN($AW$87))),($BA68-1)*LEN($AW$87)+1,LEN($AW$87)))</f>
        <v/>
      </c>
      <c r="BV68" s="669" t="str">
        <f t="shared" ref="BV68:BV87" si="50">IF(BX68=0,"",CONCATENATE(BW68,"68:",BW68,BX68+67))</f>
        <v>BB68:BB71</v>
      </c>
      <c r="BW68" s="581" t="s">
        <v>168</v>
      </c>
      <c r="BX68" s="581">
        <f>BB66</f>
        <v>4</v>
      </c>
    </row>
    <row r="69" spans="1:76" s="520" customFormat="1" ht="15.6" customHeight="1" x14ac:dyDescent="0.25">
      <c r="A69" s="575"/>
      <c r="B69" s="744">
        <v>2</v>
      </c>
      <c r="C69" s="605" t="str">
        <f t="shared" si="11"/>
        <v/>
      </c>
      <c r="D69" s="688" t="str">
        <f t="shared" si="12"/>
        <v/>
      </c>
      <c r="E69" s="651" t="str">
        <f t="shared" si="13"/>
        <v/>
      </c>
      <c r="F69" s="290"/>
      <c r="G69" s="289"/>
      <c r="H69" s="648" t="str">
        <f t="shared" si="14"/>
        <v/>
      </c>
      <c r="I69" s="801" t="str">
        <f t="shared" si="15"/>
        <v/>
      </c>
      <c r="J69" s="293" t="str">
        <f>IFERROR(IF(F69="","",VLOOKUP(F69,'10. Condition and Temporal'!$B$6:$F$103,5,FALSE)), "Error ▲")</f>
        <v/>
      </c>
      <c r="K69" s="292"/>
      <c r="L69" s="763" t="str">
        <f t="shared" si="16"/>
        <v/>
      </c>
      <c r="M69" s="330" t="str">
        <f t="shared" si="17"/>
        <v/>
      </c>
      <c r="N69" s="291"/>
      <c r="O69" s="560"/>
      <c r="P69" s="508"/>
      <c r="R69" s="410"/>
      <c r="T69" s="662" t="str">
        <f t="shared" si="18"/>
        <v/>
      </c>
      <c r="U69" s="600" t="str">
        <f t="shared" si="19"/>
        <v/>
      </c>
      <c r="V69" s="580" t="str">
        <f t="shared" si="20"/>
        <v/>
      </c>
      <c r="W69" s="579" t="str">
        <f t="shared" si="20"/>
        <v/>
      </c>
      <c r="X69" s="580" t="str">
        <f t="shared" si="20"/>
        <v/>
      </c>
      <c r="Y69" s="852"/>
      <c r="Z69" s="823"/>
      <c r="AA69" s="985"/>
      <c r="AB69" s="579" t="str">
        <f t="shared" si="21"/>
        <v/>
      </c>
      <c r="AC69" s="601" t="str">
        <f t="shared" si="22"/>
        <v/>
      </c>
      <c r="AD69" s="662" t="str">
        <f t="shared" si="23"/>
        <v/>
      </c>
      <c r="AE69" s="662" t="str">
        <f t="shared" si="24"/>
        <v/>
      </c>
      <c r="AF69" s="989" t="str">
        <f t="shared" si="25"/>
        <v/>
      </c>
      <c r="AG69" s="600" t="str">
        <f>IF(D69="","",VLOOKUP(F69,'9. All Habitats + Multipliers'!$C$4:$K$102,5,FALSE))</f>
        <v/>
      </c>
      <c r="AH69" s="824" t="str">
        <f>IF(AG69="","",VLOOKUP(AG69,'11. Lists'!$B$47:$D$49,2,FALSE))</f>
        <v/>
      </c>
      <c r="AI69" s="579" t="str">
        <f t="shared" si="26"/>
        <v/>
      </c>
      <c r="AJ69" s="580" t="str">
        <f>IF(AI69="","",VLOOKUP(AI69,'11. Lists'!$F$47:$G$51,2,FALSE))</f>
        <v/>
      </c>
      <c r="AK69" s="852"/>
      <c r="AL69" s="823"/>
      <c r="AM69" s="985"/>
      <c r="AN69" s="579" t="str">
        <f t="shared" si="27"/>
        <v/>
      </c>
      <c r="AO69" s="581" t="str">
        <f>IF(AN69="","",VLOOKUP(AN69,'11. Lists'!$F$36:$H$38,2,FALSE))</f>
        <v/>
      </c>
      <c r="AP69" s="580" t="str">
        <f>IF(AN69="","",VLOOKUP(AN69,'11. Lists'!$F$36:$H$38,3,FALSE))</f>
        <v/>
      </c>
      <c r="AQ69" s="600" t="str">
        <f>IF(D69="","",IF(AX69="Distinctiveness","N/A",VLOOKUP(F69,'10. Condition and Temporal'!$B$6:$L$103,11,FALSE)))</f>
        <v/>
      </c>
      <c r="AR69" s="604" t="str">
        <f>IF(AQ69="","",IF(AQ69="N/A","1",VLOOKUP(AQ69,'11. Lists'!$I$47:$K$80,3,FALSE)))</f>
        <v/>
      </c>
      <c r="AS69" s="1002" t="str">
        <f>IF(D69="","",IF(AX69="Condition","N/A",VLOOKUP(F69,'10. Condition and Temporal'!$B$6:$M$106,12,FALSE)))</f>
        <v/>
      </c>
      <c r="AT69" s="604" t="str">
        <f>IF(AS69="","",IF(AS69="N/A","1",VLOOKUP(AS69,'11. Lists'!$I$47:$K$80,3,FALSE)))</f>
        <v/>
      </c>
      <c r="AU69" s="600" t="str">
        <f>IF(D69="","",VLOOKUP(F69,'9. All Habitats + Multipliers'!$C$4:$K$102,8,FALSE))</f>
        <v/>
      </c>
      <c r="AV69" s="601" t="str">
        <f>IF(AU69="","",VLOOKUP(AU69,'11. Lists'!$J$35:$K$38,2,FALSE))</f>
        <v/>
      </c>
      <c r="AW69" s="662" t="str">
        <f>IF(D69="","",VLOOKUP(D69,'10. Condition and Temporal'!$B$6:$M$103,4,FALSE))</f>
        <v/>
      </c>
      <c r="AX69" s="662" t="str">
        <f t="shared" si="28"/>
        <v/>
      </c>
      <c r="AY69" s="941" t="str">
        <f t="shared" si="29"/>
        <v/>
      </c>
      <c r="BA69" s="579">
        <v>2</v>
      </c>
      <c r="BB69" s="581" t="str">
        <f t="shared" si="30"/>
        <v>Other lowland acid grassland</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169</v>
      </c>
      <c r="BX69" s="581">
        <f>BC66</f>
        <v>0</v>
      </c>
    </row>
    <row r="70" spans="1:76" s="520" customFormat="1" ht="15.6" customHeight="1" x14ac:dyDescent="0.25">
      <c r="A70" s="575"/>
      <c r="B70" s="744">
        <v>3</v>
      </c>
      <c r="C70" s="605" t="str">
        <f t="shared" si="11"/>
        <v/>
      </c>
      <c r="D70" s="688" t="str">
        <f t="shared" si="12"/>
        <v/>
      </c>
      <c r="E70" s="651" t="str">
        <f t="shared" si="13"/>
        <v/>
      </c>
      <c r="F70" s="290"/>
      <c r="G70" s="289"/>
      <c r="H70" s="648" t="str">
        <f t="shared" si="14"/>
        <v/>
      </c>
      <c r="I70" s="801" t="str">
        <f t="shared" si="15"/>
        <v/>
      </c>
      <c r="J70" s="293" t="str">
        <f>IFERROR(IF(F70="","",VLOOKUP(F70,'10. Condition and Temporal'!$B$6:$F$103,5,FALSE)), "Error ▲")</f>
        <v/>
      </c>
      <c r="K70" s="292"/>
      <c r="L70" s="763" t="str">
        <f t="shared" si="16"/>
        <v/>
      </c>
      <c r="M70" s="330" t="str">
        <f t="shared" si="17"/>
        <v/>
      </c>
      <c r="N70" s="291"/>
      <c r="O70" s="560"/>
      <c r="P70" s="508"/>
      <c r="R70" s="410"/>
      <c r="T70" s="662" t="str">
        <f t="shared" si="18"/>
        <v/>
      </c>
      <c r="U70" s="600" t="str">
        <f t="shared" si="19"/>
        <v/>
      </c>
      <c r="V70" s="580" t="str">
        <f t="shared" si="20"/>
        <v/>
      </c>
      <c r="W70" s="579" t="str">
        <f t="shared" si="20"/>
        <v/>
      </c>
      <c r="X70" s="580" t="str">
        <f t="shared" si="20"/>
        <v/>
      </c>
      <c r="Y70" s="852"/>
      <c r="Z70" s="823"/>
      <c r="AA70" s="985"/>
      <c r="AB70" s="579" t="str">
        <f t="shared" si="21"/>
        <v/>
      </c>
      <c r="AC70" s="601" t="str">
        <f t="shared" si="22"/>
        <v/>
      </c>
      <c r="AD70" s="662" t="str">
        <f t="shared" si="23"/>
        <v/>
      </c>
      <c r="AE70" s="662" t="str">
        <f t="shared" si="24"/>
        <v/>
      </c>
      <c r="AF70" s="989" t="str">
        <f t="shared" si="25"/>
        <v/>
      </c>
      <c r="AG70" s="600" t="str">
        <f>IF(D70="","",VLOOKUP(F70,'9. All Habitats + Multipliers'!$C$4:$K$102,5,FALSE))</f>
        <v/>
      </c>
      <c r="AH70" s="824" t="str">
        <f>IF(AG70="","",VLOOKUP(AG70,'11. Lists'!$B$47:$D$49,2,FALSE))</f>
        <v/>
      </c>
      <c r="AI70" s="579" t="str">
        <f t="shared" si="26"/>
        <v/>
      </c>
      <c r="AJ70" s="580" t="str">
        <f>IF(AI70="","",VLOOKUP(AI70,'11. Lists'!$F$47:$G$51,2,FALSE))</f>
        <v/>
      </c>
      <c r="AK70" s="852"/>
      <c r="AL70" s="823"/>
      <c r="AM70" s="985"/>
      <c r="AN70" s="579" t="str">
        <f t="shared" si="27"/>
        <v/>
      </c>
      <c r="AO70" s="581" t="str">
        <f>IF(AN70="","",VLOOKUP(AN70,'11. Lists'!$F$36:$H$38,2,FALSE))</f>
        <v/>
      </c>
      <c r="AP70" s="580" t="str">
        <f>IF(AN70="","",VLOOKUP(AN70,'11. Lists'!$F$36:$H$38,3,FALSE))</f>
        <v/>
      </c>
      <c r="AQ70" s="600" t="str">
        <f>IF(D70="","",IF(AX70="Distinctiveness","N/A",VLOOKUP(F70,'10. Condition and Temporal'!$B$6:$L$103,11,FALSE)))</f>
        <v/>
      </c>
      <c r="AR70" s="604" t="str">
        <f>IF(AQ70="","",IF(AQ70="N/A","1",VLOOKUP(AQ70,'11. Lists'!$I$47:$K$80,3,FALSE)))</f>
        <v/>
      </c>
      <c r="AS70" s="1002" t="str">
        <f>IF(D70="","",IF(AX70="Condition","N/A",VLOOKUP(F70,'10. Condition and Temporal'!$B$6:$M$106,12,FALSE)))</f>
        <v/>
      </c>
      <c r="AT70" s="604" t="str">
        <f>IF(AS70="","",IF(AS70="N/A","1",VLOOKUP(AS70,'11. Lists'!$I$47:$K$80,3,FALSE)))</f>
        <v/>
      </c>
      <c r="AU70" s="600" t="str">
        <f>IF(D70="","",VLOOKUP(F70,'9. All Habitats + Multipliers'!$C$4:$K$102,8,FALSE))</f>
        <v/>
      </c>
      <c r="AV70" s="601" t="str">
        <f>IF(AU70="","",VLOOKUP(AU70,'11. Lists'!$J$35:$K$38,2,FALSE))</f>
        <v/>
      </c>
      <c r="AW70" s="662" t="str">
        <f>IF(D70="","",VLOOKUP(D70,'10. Condition and Temporal'!$B$6:$M$103,4,FALSE))</f>
        <v/>
      </c>
      <c r="AX70" s="662" t="str">
        <f t="shared" si="28"/>
        <v/>
      </c>
      <c r="AY70" s="941" t="str">
        <f t="shared" si="29"/>
        <v/>
      </c>
      <c r="BA70" s="579">
        <v>3</v>
      </c>
      <c r="BB70" s="581" t="str">
        <f t="shared" si="30"/>
        <v>Other neutral grassland</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170</v>
      </c>
      <c r="BX70" s="581">
        <f>BD66</f>
        <v>0</v>
      </c>
    </row>
    <row r="71" spans="1:76" s="520" customFormat="1" ht="15.6" customHeight="1" x14ac:dyDescent="0.25">
      <c r="A71" s="575"/>
      <c r="B71" s="744">
        <v>4</v>
      </c>
      <c r="C71" s="605" t="str">
        <f t="shared" si="11"/>
        <v/>
      </c>
      <c r="D71" s="688" t="str">
        <f t="shared" si="12"/>
        <v/>
      </c>
      <c r="E71" s="651" t="str">
        <f t="shared" si="13"/>
        <v/>
      </c>
      <c r="F71" s="290"/>
      <c r="G71" s="289"/>
      <c r="H71" s="648" t="str">
        <f t="shared" si="14"/>
        <v/>
      </c>
      <c r="I71" s="801" t="str">
        <f t="shared" si="15"/>
        <v/>
      </c>
      <c r="J71" s="293" t="str">
        <f>IFERROR(IF(F71="","",VLOOKUP(F71,'10. Condition and Temporal'!$B$6:$F$103,5,FALSE)), "Error ▲")</f>
        <v/>
      </c>
      <c r="K71" s="292"/>
      <c r="L71" s="763" t="str">
        <f t="shared" si="16"/>
        <v/>
      </c>
      <c r="M71" s="330" t="str">
        <f t="shared" si="17"/>
        <v/>
      </c>
      <c r="N71" s="291"/>
      <c r="O71" s="560"/>
      <c r="P71" s="508"/>
      <c r="R71" s="410"/>
      <c r="T71" s="662" t="str">
        <f t="shared" si="18"/>
        <v/>
      </c>
      <c r="U71" s="600" t="str">
        <f t="shared" si="19"/>
        <v/>
      </c>
      <c r="V71" s="580" t="str">
        <f t="shared" si="20"/>
        <v/>
      </c>
      <c r="W71" s="579" t="str">
        <f t="shared" si="20"/>
        <v/>
      </c>
      <c r="X71" s="580" t="str">
        <f t="shared" si="20"/>
        <v/>
      </c>
      <c r="Y71" s="852"/>
      <c r="Z71" s="823"/>
      <c r="AA71" s="985"/>
      <c r="AB71" s="579" t="str">
        <f t="shared" si="21"/>
        <v/>
      </c>
      <c r="AC71" s="601" t="str">
        <f t="shared" si="22"/>
        <v/>
      </c>
      <c r="AD71" s="662" t="str">
        <f t="shared" si="23"/>
        <v/>
      </c>
      <c r="AE71" s="662" t="str">
        <f t="shared" si="24"/>
        <v/>
      </c>
      <c r="AF71" s="989" t="str">
        <f t="shared" si="25"/>
        <v/>
      </c>
      <c r="AG71" s="600" t="str">
        <f>IF(D71="","",VLOOKUP(F71,'9. All Habitats + Multipliers'!$C$4:$K$102,5,FALSE))</f>
        <v/>
      </c>
      <c r="AH71" s="824" t="str">
        <f>IF(AG71="","",VLOOKUP(AG71,'11. Lists'!$B$47:$D$49,2,FALSE))</f>
        <v/>
      </c>
      <c r="AI71" s="579" t="str">
        <f t="shared" si="26"/>
        <v/>
      </c>
      <c r="AJ71" s="580" t="str">
        <f>IF(AI71="","",VLOOKUP(AI71,'11. Lists'!$F$47:$G$51,2,FALSE))</f>
        <v/>
      </c>
      <c r="AK71" s="852"/>
      <c r="AL71" s="823"/>
      <c r="AM71" s="985"/>
      <c r="AN71" s="579" t="str">
        <f t="shared" si="27"/>
        <v/>
      </c>
      <c r="AO71" s="581" t="str">
        <f>IF(AN71="","",VLOOKUP(AN71,'11. Lists'!$F$36:$H$38,2,FALSE))</f>
        <v/>
      </c>
      <c r="AP71" s="580" t="str">
        <f>IF(AN71="","",VLOOKUP(AN71,'11. Lists'!$F$36:$H$38,3,FALSE))</f>
        <v/>
      </c>
      <c r="AQ71" s="600" t="str">
        <f>IF(D71="","",IF(AX71="Distinctiveness","N/A",VLOOKUP(F71,'10. Condition and Temporal'!$B$6:$L$103,11,FALSE)))</f>
        <v/>
      </c>
      <c r="AR71" s="604" t="str">
        <f>IF(AQ71="","",IF(AQ71="N/A","1",VLOOKUP(AQ71,'11. Lists'!$I$47:$K$80,3,FALSE)))</f>
        <v/>
      </c>
      <c r="AS71" s="1002" t="str">
        <f>IF(D71="","",IF(AX71="Condition","N/A",VLOOKUP(F71,'10. Condition and Temporal'!$B$6:$M$106,12,FALSE)))</f>
        <v/>
      </c>
      <c r="AT71" s="604" t="str">
        <f>IF(AS71="","",IF(AS71="N/A","1",VLOOKUP(AS71,'11. Lists'!$I$47:$K$80,3,FALSE)))</f>
        <v/>
      </c>
      <c r="AU71" s="600" t="str">
        <f>IF(D71="","",VLOOKUP(F71,'9. All Habitats + Multipliers'!$C$4:$K$102,8,FALSE))</f>
        <v/>
      </c>
      <c r="AV71" s="601" t="str">
        <f>IF(AU71="","",VLOOKUP(AU71,'11. Lists'!$J$35:$K$38,2,FALSE))</f>
        <v/>
      </c>
      <c r="AW71" s="662" t="str">
        <f>IF(D71="","",VLOOKUP(D71,'10. Condition and Temporal'!$B$6:$M$103,4,FALSE))</f>
        <v/>
      </c>
      <c r="AX71" s="662" t="str">
        <f t="shared" si="28"/>
        <v/>
      </c>
      <c r="AY71" s="941" t="str">
        <f t="shared" si="29"/>
        <v/>
      </c>
      <c r="BA71" s="579">
        <v>4</v>
      </c>
      <c r="BB71" s="581" t="str">
        <f t="shared" si="30"/>
        <v>Upland acid grassland</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171</v>
      </c>
      <c r="BX71" s="581">
        <f>BE66</f>
        <v>0</v>
      </c>
    </row>
    <row r="72" spans="1:76" s="520" customFormat="1" ht="15.6" customHeight="1" x14ac:dyDescent="0.25">
      <c r="A72" s="575"/>
      <c r="B72" s="744">
        <v>5</v>
      </c>
      <c r="C72" s="605" t="str">
        <f t="shared" si="11"/>
        <v/>
      </c>
      <c r="D72" s="688" t="str">
        <f t="shared" si="12"/>
        <v/>
      </c>
      <c r="E72" s="651" t="str">
        <f t="shared" si="13"/>
        <v/>
      </c>
      <c r="F72" s="290"/>
      <c r="G72" s="289"/>
      <c r="H72" s="648" t="str">
        <f t="shared" si="14"/>
        <v/>
      </c>
      <c r="I72" s="801" t="str">
        <f t="shared" si="15"/>
        <v/>
      </c>
      <c r="J72" s="293" t="str">
        <f>IFERROR(IF(F72="","",VLOOKUP(F72,'10. Condition and Temporal'!$B$6:$F$103,5,FALSE)), "Error ▲")</f>
        <v/>
      </c>
      <c r="K72" s="292"/>
      <c r="L72" s="763" t="str">
        <f t="shared" si="16"/>
        <v/>
      </c>
      <c r="M72" s="330" t="str">
        <f t="shared" si="17"/>
        <v/>
      </c>
      <c r="N72" s="291"/>
      <c r="O72" s="560"/>
      <c r="P72" s="508"/>
      <c r="R72" s="410"/>
      <c r="T72" s="662" t="str">
        <f t="shared" si="18"/>
        <v/>
      </c>
      <c r="U72" s="600" t="str">
        <f t="shared" si="19"/>
        <v/>
      </c>
      <c r="V72" s="580" t="str">
        <f t="shared" si="20"/>
        <v/>
      </c>
      <c r="W72" s="579" t="str">
        <f t="shared" si="20"/>
        <v/>
      </c>
      <c r="X72" s="580" t="str">
        <f t="shared" si="20"/>
        <v/>
      </c>
      <c r="Y72" s="852"/>
      <c r="Z72" s="823"/>
      <c r="AA72" s="985"/>
      <c r="AB72" s="579" t="str">
        <f t="shared" si="21"/>
        <v/>
      </c>
      <c r="AC72" s="601" t="str">
        <f t="shared" si="22"/>
        <v/>
      </c>
      <c r="AD72" s="662" t="str">
        <f t="shared" si="23"/>
        <v/>
      </c>
      <c r="AE72" s="662" t="str">
        <f t="shared" si="24"/>
        <v/>
      </c>
      <c r="AF72" s="989" t="str">
        <f t="shared" si="25"/>
        <v/>
      </c>
      <c r="AG72" s="600" t="str">
        <f>IF(D72="","",VLOOKUP(F72,'9. All Habitats + Multipliers'!$C$4:$K$102,5,FALSE))</f>
        <v/>
      </c>
      <c r="AH72" s="824" t="str">
        <f>IF(AG72="","",VLOOKUP(AG72,'11. Lists'!$B$47:$D$49,2,FALSE))</f>
        <v/>
      </c>
      <c r="AI72" s="579" t="str">
        <f t="shared" si="26"/>
        <v/>
      </c>
      <c r="AJ72" s="580" t="str">
        <f>IF(AI72="","",VLOOKUP(AI72,'11. Lists'!$F$47:$G$51,2,FALSE))</f>
        <v/>
      </c>
      <c r="AK72" s="852"/>
      <c r="AL72" s="823"/>
      <c r="AM72" s="985"/>
      <c r="AN72" s="579" t="str">
        <f t="shared" si="27"/>
        <v/>
      </c>
      <c r="AO72" s="581" t="str">
        <f>IF(AN72="","",VLOOKUP(AN72,'11. Lists'!$F$36:$H$38,2,FALSE))</f>
        <v/>
      </c>
      <c r="AP72" s="580" t="str">
        <f>IF(AN72="","",VLOOKUP(AN72,'11. Lists'!$F$36:$H$38,3,FALSE))</f>
        <v/>
      </c>
      <c r="AQ72" s="600" t="str">
        <f>IF(D72="","",IF(AX72="Distinctiveness","N/A",VLOOKUP(F72,'10. Condition and Temporal'!$B$6:$L$103,11,FALSE)))</f>
        <v/>
      </c>
      <c r="AR72" s="604" t="str">
        <f>IF(AQ72="","",IF(AQ72="N/A","1",VLOOKUP(AQ72,'11. Lists'!$I$47:$K$80,3,FALSE)))</f>
        <v/>
      </c>
      <c r="AS72" s="1002" t="str">
        <f>IF(D72="","",IF(AX72="Condition","N/A",VLOOKUP(F72,'10. Condition and Temporal'!$B$6:$M$106,12,FALSE)))</f>
        <v/>
      </c>
      <c r="AT72" s="604" t="str">
        <f>IF(AS72="","",IF(AS72="N/A","1",VLOOKUP(AS72,'11. Lists'!$I$47:$K$80,3,FALSE)))</f>
        <v/>
      </c>
      <c r="AU72" s="600" t="str">
        <f>IF(D72="","",VLOOKUP(F72,'9. All Habitats + Multipliers'!$C$4:$K$102,8,FALSE))</f>
        <v/>
      </c>
      <c r="AV72" s="601" t="str">
        <f>IF(AU72="","",VLOOKUP(AU72,'11. Lists'!$J$35:$K$38,2,FALSE))</f>
        <v/>
      </c>
      <c r="AW72" s="662" t="str">
        <f>IF(D72="","",VLOOKUP(D72,'10. Condition and Temporal'!$B$6:$M$103,4,FALSE))</f>
        <v/>
      </c>
      <c r="AX72" s="662" t="str">
        <f t="shared" si="28"/>
        <v/>
      </c>
      <c r="AY72" s="941" t="str">
        <f t="shared" si="29"/>
        <v/>
      </c>
      <c r="BA72" s="579">
        <v>5</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172</v>
      </c>
      <c r="BX72" s="581">
        <f>BF66</f>
        <v>0</v>
      </c>
    </row>
    <row r="73" spans="1:76" s="520" customFormat="1" ht="15.6" customHeight="1" x14ac:dyDescent="0.25">
      <c r="A73" s="575"/>
      <c r="B73" s="744">
        <v>6</v>
      </c>
      <c r="C73" s="605" t="str">
        <f t="shared" si="11"/>
        <v/>
      </c>
      <c r="D73" s="688" t="str">
        <f t="shared" si="12"/>
        <v/>
      </c>
      <c r="E73" s="651" t="str">
        <f t="shared" si="13"/>
        <v/>
      </c>
      <c r="F73" s="290"/>
      <c r="G73" s="289"/>
      <c r="H73" s="648" t="str">
        <f t="shared" si="14"/>
        <v/>
      </c>
      <c r="I73" s="801" t="str">
        <f t="shared" si="15"/>
        <v/>
      </c>
      <c r="J73" s="293" t="str">
        <f>IFERROR(IF(F73="","",VLOOKUP(F73,'10. Condition and Temporal'!$B$6:$F$103,5,FALSE)), "Error ▲")</f>
        <v/>
      </c>
      <c r="K73" s="292"/>
      <c r="L73" s="763" t="str">
        <f t="shared" si="16"/>
        <v/>
      </c>
      <c r="M73" s="330" t="str">
        <f t="shared" si="17"/>
        <v/>
      </c>
      <c r="N73" s="291"/>
      <c r="O73" s="560"/>
      <c r="P73" s="508"/>
      <c r="R73" s="410"/>
      <c r="T73" s="662" t="str">
        <f t="shared" si="18"/>
        <v/>
      </c>
      <c r="U73" s="600" t="str">
        <f t="shared" si="19"/>
        <v/>
      </c>
      <c r="V73" s="580" t="str">
        <f t="shared" si="20"/>
        <v/>
      </c>
      <c r="W73" s="579" t="str">
        <f t="shared" si="20"/>
        <v/>
      </c>
      <c r="X73" s="580" t="str">
        <f t="shared" si="20"/>
        <v/>
      </c>
      <c r="Y73" s="852"/>
      <c r="Z73" s="823"/>
      <c r="AA73" s="985"/>
      <c r="AB73" s="579" t="str">
        <f t="shared" si="21"/>
        <v/>
      </c>
      <c r="AC73" s="601" t="str">
        <f t="shared" si="22"/>
        <v/>
      </c>
      <c r="AD73" s="662" t="str">
        <f t="shared" si="23"/>
        <v/>
      </c>
      <c r="AE73" s="662" t="str">
        <f t="shared" si="24"/>
        <v/>
      </c>
      <c r="AF73" s="989" t="str">
        <f t="shared" si="25"/>
        <v/>
      </c>
      <c r="AG73" s="600" t="str">
        <f>IF(D73="","",VLOOKUP(F73,'9. All Habitats + Multipliers'!$C$4:$K$102,5,FALSE))</f>
        <v/>
      </c>
      <c r="AH73" s="824" t="str">
        <f>IF(AG73="","",VLOOKUP(AG73,'11. Lists'!$B$47:$D$49,2,FALSE))</f>
        <v/>
      </c>
      <c r="AI73" s="579" t="str">
        <f t="shared" si="26"/>
        <v/>
      </c>
      <c r="AJ73" s="580" t="str">
        <f>IF(AI73="","",VLOOKUP(AI73,'11. Lists'!$F$47:$G$51,2,FALSE))</f>
        <v/>
      </c>
      <c r="AK73" s="852"/>
      <c r="AL73" s="823"/>
      <c r="AM73" s="985"/>
      <c r="AN73" s="579" t="str">
        <f t="shared" si="27"/>
        <v/>
      </c>
      <c r="AO73" s="581" t="str">
        <f>IF(AN73="","",VLOOKUP(AN73,'11. Lists'!$F$36:$H$38,2,FALSE))</f>
        <v/>
      </c>
      <c r="AP73" s="580" t="str">
        <f>IF(AN73="","",VLOOKUP(AN73,'11. Lists'!$F$36:$H$38,3,FALSE))</f>
        <v/>
      </c>
      <c r="AQ73" s="600" t="str">
        <f>IF(D73="","",IF(AX73="Distinctiveness","N/A",VLOOKUP(F73,'10. Condition and Temporal'!$B$6:$L$103,11,FALSE)))</f>
        <v/>
      </c>
      <c r="AR73" s="604" t="str">
        <f>IF(AQ73="","",IF(AQ73="N/A","1",VLOOKUP(AQ73,'11. Lists'!$I$47:$K$80,3,FALSE)))</f>
        <v/>
      </c>
      <c r="AS73" s="1002" t="str">
        <f>IF(D73="","",IF(AX73="Condition","N/A",VLOOKUP(F73,'10. Condition and Temporal'!$B$6:$M$106,12,FALSE)))</f>
        <v/>
      </c>
      <c r="AT73" s="604" t="str">
        <f>IF(AS73="","",IF(AS73="N/A","1",VLOOKUP(AS73,'11. Lists'!$I$47:$K$80,3,FALSE)))</f>
        <v/>
      </c>
      <c r="AU73" s="600" t="str">
        <f>IF(D73="","",VLOOKUP(F73,'9. All Habitats + Multipliers'!$C$4:$K$102,8,FALSE))</f>
        <v/>
      </c>
      <c r="AV73" s="601" t="str">
        <f>IF(AU73="","",VLOOKUP(AU73,'11. Lists'!$J$35:$K$38,2,FALSE))</f>
        <v/>
      </c>
      <c r="AW73" s="662" t="str">
        <f>IF(D73="","",VLOOKUP(D73,'10. Condition and Temporal'!$B$6:$M$103,4,FALSE))</f>
        <v/>
      </c>
      <c r="AX73" s="662" t="str">
        <f t="shared" si="28"/>
        <v/>
      </c>
      <c r="AY73" s="941" t="str">
        <f t="shared" si="29"/>
        <v/>
      </c>
      <c r="BA73" s="579">
        <v>6</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173</v>
      </c>
      <c r="BX73" s="581">
        <f>BG66</f>
        <v>0</v>
      </c>
    </row>
    <row r="74" spans="1:76" s="520" customFormat="1" ht="15.6" customHeight="1" x14ac:dyDescent="0.25">
      <c r="A74" s="575"/>
      <c r="B74" s="744">
        <v>7</v>
      </c>
      <c r="C74" s="605" t="str">
        <f t="shared" si="11"/>
        <v/>
      </c>
      <c r="D74" s="688" t="str">
        <f t="shared" si="12"/>
        <v/>
      </c>
      <c r="E74" s="651" t="str">
        <f t="shared" si="13"/>
        <v/>
      </c>
      <c r="F74" s="290"/>
      <c r="G74" s="289"/>
      <c r="H74" s="648" t="str">
        <f t="shared" si="14"/>
        <v/>
      </c>
      <c r="I74" s="801" t="str">
        <f t="shared" si="15"/>
        <v/>
      </c>
      <c r="J74" s="293" t="str">
        <f>IFERROR(IF(F74="","",VLOOKUP(F74,'10. Condition and Temporal'!$B$6:$F$103,5,FALSE)), "Error ▲")</f>
        <v/>
      </c>
      <c r="K74" s="292"/>
      <c r="L74" s="763" t="str">
        <f t="shared" si="16"/>
        <v/>
      </c>
      <c r="M74" s="330" t="str">
        <f t="shared" si="17"/>
        <v/>
      </c>
      <c r="N74" s="291"/>
      <c r="O74" s="560"/>
      <c r="P74" s="508"/>
      <c r="R74" s="410"/>
      <c r="T74" s="662" t="str">
        <f t="shared" si="18"/>
        <v/>
      </c>
      <c r="U74" s="600" t="str">
        <f t="shared" si="19"/>
        <v/>
      </c>
      <c r="V74" s="580" t="str">
        <f t="shared" si="20"/>
        <v/>
      </c>
      <c r="W74" s="579" t="str">
        <f t="shared" si="20"/>
        <v/>
      </c>
      <c r="X74" s="580" t="str">
        <f t="shared" si="20"/>
        <v/>
      </c>
      <c r="Y74" s="852"/>
      <c r="Z74" s="823"/>
      <c r="AA74" s="985"/>
      <c r="AB74" s="579" t="str">
        <f t="shared" si="21"/>
        <v/>
      </c>
      <c r="AC74" s="601" t="str">
        <f t="shared" si="22"/>
        <v/>
      </c>
      <c r="AD74" s="662" t="str">
        <f t="shared" si="23"/>
        <v/>
      </c>
      <c r="AE74" s="662" t="str">
        <f t="shared" si="24"/>
        <v/>
      </c>
      <c r="AF74" s="989" t="str">
        <f t="shared" si="25"/>
        <v/>
      </c>
      <c r="AG74" s="600" t="str">
        <f>IF(D74="","",VLOOKUP(F74,'9. All Habitats + Multipliers'!$C$4:$K$102,5,FALSE))</f>
        <v/>
      </c>
      <c r="AH74" s="824" t="str">
        <f>IF(AG74="","",VLOOKUP(AG74,'11. Lists'!$B$47:$D$49,2,FALSE))</f>
        <v/>
      </c>
      <c r="AI74" s="579" t="str">
        <f t="shared" si="26"/>
        <v/>
      </c>
      <c r="AJ74" s="580" t="str">
        <f>IF(AI74="","",VLOOKUP(AI74,'11. Lists'!$F$47:$G$51,2,FALSE))</f>
        <v/>
      </c>
      <c r="AK74" s="852"/>
      <c r="AL74" s="823"/>
      <c r="AM74" s="985"/>
      <c r="AN74" s="579" t="str">
        <f t="shared" si="27"/>
        <v/>
      </c>
      <c r="AO74" s="581" t="str">
        <f>IF(AN74="","",VLOOKUP(AN74,'11. Lists'!$F$36:$H$38,2,FALSE))</f>
        <v/>
      </c>
      <c r="AP74" s="580" t="str">
        <f>IF(AN74="","",VLOOKUP(AN74,'11. Lists'!$F$36:$H$38,3,FALSE))</f>
        <v/>
      </c>
      <c r="AQ74" s="600" t="str">
        <f>IF(D74="","",IF(AX74="Distinctiveness","N/A",VLOOKUP(F74,'10. Condition and Temporal'!$B$6:$L$103,11,FALSE)))</f>
        <v/>
      </c>
      <c r="AR74" s="604" t="str">
        <f>IF(AQ74="","",IF(AQ74="N/A","1",VLOOKUP(AQ74,'11. Lists'!$I$47:$K$80,3,FALSE)))</f>
        <v/>
      </c>
      <c r="AS74" s="1002" t="str">
        <f>IF(D74="","",IF(AX74="Condition","N/A",VLOOKUP(F74,'10. Condition and Temporal'!$B$6:$M$106,12,FALSE)))</f>
        <v/>
      </c>
      <c r="AT74" s="604" t="str">
        <f>IF(AS74="","",IF(AS74="N/A","1",VLOOKUP(AS74,'11. Lists'!$I$47:$K$80,3,FALSE)))</f>
        <v/>
      </c>
      <c r="AU74" s="600" t="str">
        <f>IF(D74="","",VLOOKUP(F74,'9. All Habitats + Multipliers'!$C$4:$K$102,8,FALSE))</f>
        <v/>
      </c>
      <c r="AV74" s="601" t="str">
        <f>IF(AU74="","",VLOOKUP(AU74,'11. Lists'!$J$35:$K$38,2,FALSE))</f>
        <v/>
      </c>
      <c r="AW74" s="662" t="str">
        <f>IF(D74="","",VLOOKUP(D74,'10. Condition and Temporal'!$B$6:$M$103,4,FALSE))</f>
        <v/>
      </c>
      <c r="AX74" s="662" t="str">
        <f t="shared" si="28"/>
        <v/>
      </c>
      <c r="AY74" s="941" t="str">
        <f t="shared" si="29"/>
        <v/>
      </c>
      <c r="BA74" s="579">
        <v>7</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174</v>
      </c>
      <c r="BX74" s="581">
        <f>BH66</f>
        <v>0</v>
      </c>
    </row>
    <row r="75" spans="1:76" s="520" customFormat="1" ht="15.6" customHeight="1" x14ac:dyDescent="0.25">
      <c r="A75" s="575"/>
      <c r="B75" s="744">
        <v>8</v>
      </c>
      <c r="C75" s="605" t="str">
        <f t="shared" si="11"/>
        <v/>
      </c>
      <c r="D75" s="688" t="str">
        <f t="shared" si="12"/>
        <v/>
      </c>
      <c r="E75" s="651" t="str">
        <f t="shared" si="13"/>
        <v/>
      </c>
      <c r="F75" s="290"/>
      <c r="G75" s="289"/>
      <c r="H75" s="648" t="str">
        <f t="shared" si="14"/>
        <v/>
      </c>
      <c r="I75" s="801" t="str">
        <f t="shared" si="15"/>
        <v/>
      </c>
      <c r="J75" s="293" t="str">
        <f>IFERROR(IF(F75="","",VLOOKUP(F75,'10. Condition and Temporal'!$B$6:$F$103,5,FALSE)), "Error ▲")</f>
        <v/>
      </c>
      <c r="K75" s="292"/>
      <c r="L75" s="763" t="str">
        <f t="shared" si="16"/>
        <v/>
      </c>
      <c r="M75" s="330" t="str">
        <f t="shared" si="17"/>
        <v/>
      </c>
      <c r="N75" s="291"/>
      <c r="O75" s="560"/>
      <c r="P75" s="508"/>
      <c r="R75" s="410"/>
      <c r="T75" s="662" t="str">
        <f t="shared" si="18"/>
        <v/>
      </c>
      <c r="U75" s="600" t="str">
        <f t="shared" si="19"/>
        <v/>
      </c>
      <c r="V75" s="580" t="str">
        <f t="shared" si="20"/>
        <v/>
      </c>
      <c r="W75" s="579" t="str">
        <f t="shared" si="20"/>
        <v/>
      </c>
      <c r="X75" s="580" t="str">
        <f t="shared" si="20"/>
        <v/>
      </c>
      <c r="Y75" s="852"/>
      <c r="Z75" s="823"/>
      <c r="AA75" s="985"/>
      <c r="AB75" s="579" t="str">
        <f t="shared" si="21"/>
        <v/>
      </c>
      <c r="AC75" s="601" t="str">
        <f t="shared" si="22"/>
        <v/>
      </c>
      <c r="AD75" s="662" t="str">
        <f t="shared" si="23"/>
        <v/>
      </c>
      <c r="AE75" s="662" t="str">
        <f t="shared" si="24"/>
        <v/>
      </c>
      <c r="AF75" s="989" t="str">
        <f t="shared" si="25"/>
        <v/>
      </c>
      <c r="AG75" s="600" t="str">
        <f>IF(D75="","",VLOOKUP(F75,'9. All Habitats + Multipliers'!$C$4:$K$102,5,FALSE))</f>
        <v/>
      </c>
      <c r="AH75" s="824" t="str">
        <f>IF(AG75="","",VLOOKUP(AG75,'11. Lists'!$B$47:$D$49,2,FALSE))</f>
        <v/>
      </c>
      <c r="AI75" s="579" t="str">
        <f t="shared" si="26"/>
        <v/>
      </c>
      <c r="AJ75" s="580" t="str">
        <f>IF(AI75="","",VLOOKUP(AI75,'11. Lists'!$F$47:$G$51,2,FALSE))</f>
        <v/>
      </c>
      <c r="AK75" s="852"/>
      <c r="AL75" s="823"/>
      <c r="AM75" s="985"/>
      <c r="AN75" s="579" t="str">
        <f t="shared" si="27"/>
        <v/>
      </c>
      <c r="AO75" s="581" t="str">
        <f>IF(AN75="","",VLOOKUP(AN75,'11. Lists'!$F$36:$H$38,2,FALSE))</f>
        <v/>
      </c>
      <c r="AP75" s="580" t="str">
        <f>IF(AN75="","",VLOOKUP(AN75,'11. Lists'!$F$36:$H$38,3,FALSE))</f>
        <v/>
      </c>
      <c r="AQ75" s="600" t="str">
        <f>IF(D75="","",IF(AX75="Distinctiveness","N/A",VLOOKUP(F75,'10. Condition and Temporal'!$B$6:$L$103,11,FALSE)))</f>
        <v/>
      </c>
      <c r="AR75" s="604" t="str">
        <f>IF(AQ75="","",IF(AQ75="N/A","1",VLOOKUP(AQ75,'11. Lists'!$I$47:$K$80,3,FALSE)))</f>
        <v/>
      </c>
      <c r="AS75" s="1002" t="str">
        <f>IF(D75="","",IF(AX75="Condition","N/A",VLOOKUP(F75,'10. Condition and Temporal'!$B$6:$M$106,12,FALSE)))</f>
        <v/>
      </c>
      <c r="AT75" s="604" t="str">
        <f>IF(AS75="","",IF(AS75="N/A","1",VLOOKUP(AS75,'11. Lists'!$I$47:$K$80,3,FALSE)))</f>
        <v/>
      </c>
      <c r="AU75" s="600" t="str">
        <f>IF(D75="","",VLOOKUP(F75,'9. All Habitats + Multipliers'!$C$4:$K$102,8,FALSE))</f>
        <v/>
      </c>
      <c r="AV75" s="601" t="str">
        <f>IF(AU75="","",VLOOKUP(AU75,'11. Lists'!$J$35:$K$38,2,FALSE))</f>
        <v/>
      </c>
      <c r="AW75" s="662" t="str">
        <f>IF(D75="","",VLOOKUP(D75,'10. Condition and Temporal'!$B$6:$M$103,4,FALSE))</f>
        <v/>
      </c>
      <c r="AX75" s="662" t="str">
        <f t="shared" si="28"/>
        <v/>
      </c>
      <c r="AY75" s="941" t="str">
        <f t="shared" si="29"/>
        <v/>
      </c>
      <c r="BA75" s="579">
        <v>8</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175</v>
      </c>
      <c r="BX75" s="581">
        <f>BI66</f>
        <v>0</v>
      </c>
    </row>
    <row r="76" spans="1:76" s="520" customFormat="1" ht="15.6" customHeight="1" x14ac:dyDescent="0.25">
      <c r="A76" s="575"/>
      <c r="B76" s="744">
        <v>9</v>
      </c>
      <c r="C76" s="605" t="str">
        <f t="shared" si="11"/>
        <v/>
      </c>
      <c r="D76" s="688" t="str">
        <f t="shared" si="12"/>
        <v/>
      </c>
      <c r="E76" s="651" t="str">
        <f t="shared" si="13"/>
        <v/>
      </c>
      <c r="F76" s="290"/>
      <c r="G76" s="289"/>
      <c r="H76" s="648" t="str">
        <f t="shared" si="14"/>
        <v/>
      </c>
      <c r="I76" s="801" t="str">
        <f t="shared" si="15"/>
        <v/>
      </c>
      <c r="J76" s="293" t="str">
        <f>IFERROR(IF(F76="","",VLOOKUP(F76,'10. Condition and Temporal'!$B$6:$F$103,5,FALSE)), "Error ▲")</f>
        <v/>
      </c>
      <c r="K76" s="292"/>
      <c r="L76" s="763" t="str">
        <f t="shared" si="16"/>
        <v/>
      </c>
      <c r="M76" s="330" t="str">
        <f t="shared" si="17"/>
        <v/>
      </c>
      <c r="N76" s="291"/>
      <c r="O76" s="560"/>
      <c r="P76" s="508"/>
      <c r="R76" s="410"/>
      <c r="T76" s="662" t="str">
        <f t="shared" si="18"/>
        <v/>
      </c>
      <c r="U76" s="600" t="str">
        <f t="shared" si="19"/>
        <v/>
      </c>
      <c r="V76" s="580" t="str">
        <f t="shared" si="20"/>
        <v/>
      </c>
      <c r="W76" s="579" t="str">
        <f t="shared" si="20"/>
        <v/>
      </c>
      <c r="X76" s="580" t="str">
        <f t="shared" si="20"/>
        <v/>
      </c>
      <c r="Y76" s="852"/>
      <c r="Z76" s="823"/>
      <c r="AA76" s="985"/>
      <c r="AB76" s="579" t="str">
        <f t="shared" si="21"/>
        <v/>
      </c>
      <c r="AC76" s="601" t="str">
        <f t="shared" si="22"/>
        <v/>
      </c>
      <c r="AD76" s="662" t="str">
        <f t="shared" si="23"/>
        <v/>
      </c>
      <c r="AE76" s="662" t="str">
        <f t="shared" si="24"/>
        <v/>
      </c>
      <c r="AF76" s="989" t="str">
        <f t="shared" si="25"/>
        <v/>
      </c>
      <c r="AG76" s="600" t="str">
        <f>IF(D76="","",VLOOKUP(F76,'9. All Habitats + Multipliers'!$C$4:$K$102,5,FALSE))</f>
        <v/>
      </c>
      <c r="AH76" s="824" t="str">
        <f>IF(AG76="","",VLOOKUP(AG76,'11. Lists'!$B$47:$D$49,2,FALSE))</f>
        <v/>
      </c>
      <c r="AI76" s="579" t="str">
        <f t="shared" si="26"/>
        <v/>
      </c>
      <c r="AJ76" s="580" t="str">
        <f>IF(AI76="","",VLOOKUP(AI76,'11. Lists'!$F$47:$G$51,2,FALSE))</f>
        <v/>
      </c>
      <c r="AK76" s="852"/>
      <c r="AL76" s="823"/>
      <c r="AM76" s="985"/>
      <c r="AN76" s="579" t="str">
        <f t="shared" si="27"/>
        <v/>
      </c>
      <c r="AO76" s="581" t="str">
        <f>IF(AN76="","",VLOOKUP(AN76,'11. Lists'!$F$36:$H$38,2,FALSE))</f>
        <v/>
      </c>
      <c r="AP76" s="580" t="str">
        <f>IF(AN76="","",VLOOKUP(AN76,'11. Lists'!$F$36:$H$38,3,FALSE))</f>
        <v/>
      </c>
      <c r="AQ76" s="600" t="str">
        <f>IF(D76="","",IF(AX76="Distinctiveness","N/A",VLOOKUP(F76,'10. Condition and Temporal'!$B$6:$L$103,11,FALSE)))</f>
        <v/>
      </c>
      <c r="AR76" s="604" t="str">
        <f>IF(AQ76="","",IF(AQ76="N/A","1",VLOOKUP(AQ76,'11. Lists'!$I$47:$K$80,3,FALSE)))</f>
        <v/>
      </c>
      <c r="AS76" s="1002" t="str">
        <f>IF(D76="","",IF(AX76="Condition","N/A",VLOOKUP(F76,'10. Condition and Temporal'!$B$6:$M$106,12,FALSE)))</f>
        <v/>
      </c>
      <c r="AT76" s="604" t="str">
        <f>IF(AS76="","",IF(AS76="N/A","1",VLOOKUP(AS76,'11. Lists'!$I$47:$K$80,3,FALSE)))</f>
        <v/>
      </c>
      <c r="AU76" s="600" t="str">
        <f>IF(D76="","",VLOOKUP(F76,'9. All Habitats + Multipliers'!$C$4:$K$102,8,FALSE))</f>
        <v/>
      </c>
      <c r="AV76" s="601" t="str">
        <f>IF(AU76="","",VLOOKUP(AU76,'11. Lists'!$J$35:$K$38,2,FALSE))</f>
        <v/>
      </c>
      <c r="AW76" s="662" t="str">
        <f>IF(D76="","",VLOOKUP(D76,'10. Condition and Temporal'!$B$6:$M$103,4,FALSE))</f>
        <v/>
      </c>
      <c r="AX76" s="662" t="str">
        <f t="shared" si="28"/>
        <v/>
      </c>
      <c r="AY76" s="941" t="str">
        <f t="shared" si="29"/>
        <v/>
      </c>
      <c r="BA76" s="579">
        <v>9</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176</v>
      </c>
      <c r="BX76" s="581">
        <f>BJ66</f>
        <v>0</v>
      </c>
    </row>
    <row r="77" spans="1:76" s="520" customFormat="1" ht="15.6" customHeight="1" x14ac:dyDescent="0.25">
      <c r="A77" s="575"/>
      <c r="B77" s="744">
        <v>10</v>
      </c>
      <c r="C77" s="605" t="str">
        <f t="shared" si="11"/>
        <v/>
      </c>
      <c r="D77" s="688" t="str">
        <f t="shared" si="12"/>
        <v/>
      </c>
      <c r="E77" s="651" t="str">
        <f t="shared" si="13"/>
        <v/>
      </c>
      <c r="F77" s="290"/>
      <c r="G77" s="289"/>
      <c r="H77" s="648" t="str">
        <f t="shared" si="14"/>
        <v/>
      </c>
      <c r="I77" s="801" t="str">
        <f t="shared" si="15"/>
        <v/>
      </c>
      <c r="J77" s="293" t="str">
        <f>IFERROR(IF(F77="","",VLOOKUP(F77,'10. Condition and Temporal'!$B$6:$F$103,5,FALSE)), "Error ▲")</f>
        <v/>
      </c>
      <c r="K77" s="292"/>
      <c r="L77" s="763" t="str">
        <f t="shared" si="16"/>
        <v/>
      </c>
      <c r="M77" s="330" t="str">
        <f t="shared" si="17"/>
        <v/>
      </c>
      <c r="N77" s="291"/>
      <c r="O77" s="560"/>
      <c r="P77" s="508"/>
      <c r="R77" s="410"/>
      <c r="T77" s="662" t="str">
        <f t="shared" si="18"/>
        <v/>
      </c>
      <c r="U77" s="600" t="str">
        <f t="shared" si="19"/>
        <v/>
      </c>
      <c r="V77" s="580" t="str">
        <f t="shared" si="20"/>
        <v/>
      </c>
      <c r="W77" s="579" t="str">
        <f t="shared" si="20"/>
        <v/>
      </c>
      <c r="X77" s="580" t="str">
        <f t="shared" si="20"/>
        <v/>
      </c>
      <c r="Y77" s="852"/>
      <c r="Z77" s="823"/>
      <c r="AA77" s="985"/>
      <c r="AB77" s="579" t="str">
        <f t="shared" si="21"/>
        <v/>
      </c>
      <c r="AC77" s="601" t="str">
        <f t="shared" si="22"/>
        <v/>
      </c>
      <c r="AD77" s="662" t="str">
        <f t="shared" si="23"/>
        <v/>
      </c>
      <c r="AE77" s="662" t="str">
        <f t="shared" si="24"/>
        <v/>
      </c>
      <c r="AF77" s="989" t="str">
        <f t="shared" si="25"/>
        <v/>
      </c>
      <c r="AG77" s="600" t="str">
        <f>IF(D77="","",VLOOKUP(F77,'9. All Habitats + Multipliers'!$C$4:$K$102,5,FALSE))</f>
        <v/>
      </c>
      <c r="AH77" s="824" t="str">
        <f>IF(AG77="","",VLOOKUP(AG77,'11. Lists'!$B$47:$D$49,2,FALSE))</f>
        <v/>
      </c>
      <c r="AI77" s="579" t="str">
        <f t="shared" si="26"/>
        <v/>
      </c>
      <c r="AJ77" s="580" t="str">
        <f>IF(AI77="","",VLOOKUP(AI77,'11. Lists'!$F$47:$G$51,2,FALSE))</f>
        <v/>
      </c>
      <c r="AK77" s="852"/>
      <c r="AL77" s="823"/>
      <c r="AM77" s="985"/>
      <c r="AN77" s="579" t="str">
        <f t="shared" si="27"/>
        <v/>
      </c>
      <c r="AO77" s="581" t="str">
        <f>IF(AN77="","",VLOOKUP(AN77,'11. Lists'!$F$36:$H$38,2,FALSE))</f>
        <v/>
      </c>
      <c r="AP77" s="580" t="str">
        <f>IF(AN77="","",VLOOKUP(AN77,'11. Lists'!$F$36:$H$38,3,FALSE))</f>
        <v/>
      </c>
      <c r="AQ77" s="600" t="str">
        <f>IF(D77="","",IF(AX77="Distinctiveness","N/A",VLOOKUP(F77,'10. Condition and Temporal'!$B$6:$L$103,11,FALSE)))</f>
        <v/>
      </c>
      <c r="AR77" s="604" t="str">
        <f>IF(AQ77="","",IF(AQ77="N/A","1",VLOOKUP(AQ77,'11. Lists'!$I$47:$K$80,3,FALSE)))</f>
        <v/>
      </c>
      <c r="AS77" s="1002" t="str">
        <f>IF(D77="","",IF(AX77="Condition","N/A",VLOOKUP(F77,'10. Condition and Temporal'!$B$6:$M$106,12,FALSE)))</f>
        <v/>
      </c>
      <c r="AT77" s="604" t="str">
        <f>IF(AS77="","",IF(AS77="N/A","1",VLOOKUP(AS77,'11. Lists'!$I$47:$K$80,3,FALSE)))</f>
        <v/>
      </c>
      <c r="AU77" s="600" t="str">
        <f>IF(D77="","",VLOOKUP(F77,'9. All Habitats + Multipliers'!$C$4:$K$102,8,FALSE))</f>
        <v/>
      </c>
      <c r="AV77" s="601" t="str">
        <f>IF(AU77="","",VLOOKUP(AU77,'11. Lists'!$J$35:$K$38,2,FALSE))</f>
        <v/>
      </c>
      <c r="AW77" s="662" t="str">
        <f>IF(D77="","",VLOOKUP(D77,'10. Condition and Temporal'!$B$6:$M$103,4,FALSE))</f>
        <v/>
      </c>
      <c r="AX77" s="662" t="str">
        <f t="shared" si="28"/>
        <v/>
      </c>
      <c r="AY77" s="941" t="str">
        <f t="shared" si="29"/>
        <v/>
      </c>
      <c r="BA77" s="579">
        <v>10</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177</v>
      </c>
      <c r="BX77" s="581">
        <f>BK66</f>
        <v>0</v>
      </c>
    </row>
    <row r="78" spans="1:76" s="520" customFormat="1" ht="15.6" customHeight="1" x14ac:dyDescent="0.25">
      <c r="A78" s="575"/>
      <c r="B78" s="744">
        <v>11</v>
      </c>
      <c r="C78" s="605" t="str">
        <f t="shared" si="11"/>
        <v/>
      </c>
      <c r="D78" s="688" t="str">
        <f t="shared" si="12"/>
        <v/>
      </c>
      <c r="E78" s="651" t="str">
        <f t="shared" si="13"/>
        <v/>
      </c>
      <c r="F78" s="290"/>
      <c r="G78" s="289"/>
      <c r="H78" s="648" t="str">
        <f t="shared" si="14"/>
        <v/>
      </c>
      <c r="I78" s="801" t="str">
        <f t="shared" si="15"/>
        <v/>
      </c>
      <c r="J78" s="293" t="str">
        <f>IFERROR(IF(F78="","",VLOOKUP(F78,'10. Condition and Temporal'!$B$6:$F$103,5,FALSE)), "Error ▲")</f>
        <v/>
      </c>
      <c r="K78" s="292"/>
      <c r="L78" s="763" t="str">
        <f t="shared" si="16"/>
        <v/>
      </c>
      <c r="M78" s="330" t="str">
        <f t="shared" si="17"/>
        <v/>
      </c>
      <c r="N78" s="291"/>
      <c r="O78" s="560"/>
      <c r="P78" s="508"/>
      <c r="R78" s="410"/>
      <c r="T78" s="662" t="str">
        <f t="shared" si="18"/>
        <v/>
      </c>
      <c r="U78" s="600" t="str">
        <f t="shared" si="19"/>
        <v/>
      </c>
      <c r="V78" s="580" t="str">
        <f t="shared" si="20"/>
        <v/>
      </c>
      <c r="W78" s="579" t="str">
        <f t="shared" si="20"/>
        <v/>
      </c>
      <c r="X78" s="580" t="str">
        <f t="shared" si="20"/>
        <v/>
      </c>
      <c r="Y78" s="852"/>
      <c r="Z78" s="823"/>
      <c r="AA78" s="985"/>
      <c r="AB78" s="579" t="str">
        <f t="shared" si="21"/>
        <v/>
      </c>
      <c r="AC78" s="601" t="str">
        <f t="shared" si="22"/>
        <v/>
      </c>
      <c r="AD78" s="662" t="str">
        <f t="shared" si="23"/>
        <v/>
      </c>
      <c r="AE78" s="662" t="str">
        <f t="shared" si="24"/>
        <v/>
      </c>
      <c r="AF78" s="989" t="str">
        <f t="shared" si="25"/>
        <v/>
      </c>
      <c r="AG78" s="600" t="str">
        <f>IF(D78="","",VLOOKUP(F78,'9. All Habitats + Multipliers'!$C$4:$K$102,5,FALSE))</f>
        <v/>
      </c>
      <c r="AH78" s="824" t="str">
        <f>IF(AG78="","",VLOOKUP(AG78,'11. Lists'!$B$47:$D$49,2,FALSE))</f>
        <v/>
      </c>
      <c r="AI78" s="579" t="str">
        <f t="shared" si="26"/>
        <v/>
      </c>
      <c r="AJ78" s="580" t="str">
        <f>IF(AI78="","",VLOOKUP(AI78,'11. Lists'!$F$47:$G$51,2,FALSE))</f>
        <v/>
      </c>
      <c r="AK78" s="852"/>
      <c r="AL78" s="823"/>
      <c r="AM78" s="985"/>
      <c r="AN78" s="579" t="str">
        <f t="shared" si="27"/>
        <v/>
      </c>
      <c r="AO78" s="581" t="str">
        <f>IF(AN78="","",VLOOKUP(AN78,'11. Lists'!$F$36:$H$38,2,FALSE))</f>
        <v/>
      </c>
      <c r="AP78" s="580" t="str">
        <f>IF(AN78="","",VLOOKUP(AN78,'11. Lists'!$F$36:$H$38,3,FALSE))</f>
        <v/>
      </c>
      <c r="AQ78" s="600" t="str">
        <f>IF(D78="","",IF(AX78="Distinctiveness","N/A",VLOOKUP(F78,'10. Condition and Temporal'!$B$6:$L$103,11,FALSE)))</f>
        <v/>
      </c>
      <c r="AR78" s="604" t="str">
        <f>IF(AQ78="","",IF(AQ78="N/A","1",VLOOKUP(AQ78,'11. Lists'!$I$47:$K$80,3,FALSE)))</f>
        <v/>
      </c>
      <c r="AS78" s="1002" t="str">
        <f>IF(D78="","",IF(AX78="Condition","N/A",VLOOKUP(F78,'10. Condition and Temporal'!$B$6:$M$106,12,FALSE)))</f>
        <v/>
      </c>
      <c r="AT78" s="604" t="str">
        <f>IF(AS78="","",IF(AS78="N/A","1",VLOOKUP(AS78,'11. Lists'!$I$47:$K$80,3,FALSE)))</f>
        <v/>
      </c>
      <c r="AU78" s="600" t="str">
        <f>IF(D78="","",VLOOKUP(F78,'9. All Habitats + Multipliers'!$C$4:$K$102,8,FALSE))</f>
        <v/>
      </c>
      <c r="AV78" s="601" t="str">
        <f>IF(AU78="","",VLOOKUP(AU78,'11. Lists'!$J$35:$K$38,2,FALSE))</f>
        <v/>
      </c>
      <c r="AW78" s="662" t="str">
        <f>IF(D78="","",VLOOKUP(D78,'10. Condition and Temporal'!$B$6:$M$103,4,FALSE))</f>
        <v/>
      </c>
      <c r="AX78" s="662" t="str">
        <f t="shared" si="28"/>
        <v/>
      </c>
      <c r="AY78" s="941" t="str">
        <f t="shared" si="29"/>
        <v/>
      </c>
      <c r="BA78" s="579">
        <v>11</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178</v>
      </c>
      <c r="BX78" s="581">
        <f>BL66</f>
        <v>0</v>
      </c>
    </row>
    <row r="79" spans="1:76" s="520" customFormat="1" ht="15.6" customHeight="1" x14ac:dyDescent="0.25">
      <c r="A79" s="575"/>
      <c r="B79" s="744">
        <v>12</v>
      </c>
      <c r="C79" s="605" t="str">
        <f t="shared" si="11"/>
        <v/>
      </c>
      <c r="D79" s="688" t="str">
        <f t="shared" si="12"/>
        <v/>
      </c>
      <c r="E79" s="651" t="str">
        <f t="shared" si="13"/>
        <v/>
      </c>
      <c r="F79" s="290"/>
      <c r="G79" s="289"/>
      <c r="H79" s="648" t="str">
        <f t="shared" si="14"/>
        <v/>
      </c>
      <c r="I79" s="801" t="str">
        <f t="shared" si="15"/>
        <v/>
      </c>
      <c r="J79" s="293" t="str">
        <f>IFERROR(IF(F79="","",VLOOKUP(F79,'10. Condition and Temporal'!$B$6:$F$103,5,FALSE)), "Error ▲")</f>
        <v/>
      </c>
      <c r="K79" s="292"/>
      <c r="L79" s="763" t="str">
        <f t="shared" si="16"/>
        <v/>
      </c>
      <c r="M79" s="330" t="str">
        <f t="shared" si="17"/>
        <v/>
      </c>
      <c r="N79" s="291"/>
      <c r="O79" s="560"/>
      <c r="P79" s="508"/>
      <c r="R79" s="410"/>
      <c r="T79" s="662" t="str">
        <f t="shared" si="18"/>
        <v/>
      </c>
      <c r="U79" s="600" t="str">
        <f t="shared" si="19"/>
        <v/>
      </c>
      <c r="V79" s="580" t="str">
        <f t="shared" si="20"/>
        <v/>
      </c>
      <c r="W79" s="579" t="str">
        <f t="shared" si="20"/>
        <v/>
      </c>
      <c r="X79" s="580" t="str">
        <f t="shared" si="20"/>
        <v/>
      </c>
      <c r="Y79" s="852"/>
      <c r="Z79" s="823"/>
      <c r="AA79" s="985"/>
      <c r="AB79" s="579" t="str">
        <f t="shared" si="21"/>
        <v/>
      </c>
      <c r="AC79" s="601" t="str">
        <f t="shared" si="22"/>
        <v/>
      </c>
      <c r="AD79" s="662" t="str">
        <f t="shared" si="23"/>
        <v/>
      </c>
      <c r="AE79" s="662" t="str">
        <f t="shared" si="24"/>
        <v/>
      </c>
      <c r="AF79" s="989" t="str">
        <f t="shared" si="25"/>
        <v/>
      </c>
      <c r="AG79" s="600" t="str">
        <f>IF(D79="","",VLOOKUP(F79,'9. All Habitats + Multipliers'!$C$4:$K$102,5,FALSE))</f>
        <v/>
      </c>
      <c r="AH79" s="824" t="str">
        <f>IF(AG79="","",VLOOKUP(AG79,'11. Lists'!$B$47:$D$49,2,FALSE))</f>
        <v/>
      </c>
      <c r="AI79" s="579" t="str">
        <f t="shared" si="26"/>
        <v/>
      </c>
      <c r="AJ79" s="580" t="str">
        <f>IF(AI79="","",VLOOKUP(AI79,'11. Lists'!$F$47:$G$51,2,FALSE))</f>
        <v/>
      </c>
      <c r="AK79" s="852"/>
      <c r="AL79" s="823"/>
      <c r="AM79" s="985"/>
      <c r="AN79" s="579" t="str">
        <f t="shared" si="27"/>
        <v/>
      </c>
      <c r="AO79" s="581" t="str">
        <f>IF(AN79="","",VLOOKUP(AN79,'11. Lists'!$F$36:$H$38,2,FALSE))</f>
        <v/>
      </c>
      <c r="AP79" s="580" t="str">
        <f>IF(AN79="","",VLOOKUP(AN79,'11. Lists'!$F$36:$H$38,3,FALSE))</f>
        <v/>
      </c>
      <c r="AQ79" s="600" t="str">
        <f>IF(D79="","",IF(AX79="Distinctiveness","N/A",VLOOKUP(F79,'10. Condition and Temporal'!$B$6:$L$103,11,FALSE)))</f>
        <v/>
      </c>
      <c r="AR79" s="604" t="str">
        <f>IF(AQ79="","",IF(AQ79="N/A","1",VLOOKUP(AQ79,'11. Lists'!$I$47:$K$80,3,FALSE)))</f>
        <v/>
      </c>
      <c r="AS79" s="1002" t="str">
        <f>IF(D79="","",IF(AX79="Condition","N/A",VLOOKUP(F79,'10. Condition and Temporal'!$B$6:$M$106,12,FALSE)))</f>
        <v/>
      </c>
      <c r="AT79" s="604" t="str">
        <f>IF(AS79="","",IF(AS79="N/A","1",VLOOKUP(AS79,'11. Lists'!$I$47:$K$80,3,FALSE)))</f>
        <v/>
      </c>
      <c r="AU79" s="600" t="str">
        <f>IF(D79="","",VLOOKUP(F79,'9. All Habitats + Multipliers'!$C$4:$K$102,8,FALSE))</f>
        <v/>
      </c>
      <c r="AV79" s="601" t="str">
        <f>IF(AU79="","",VLOOKUP(AU79,'11. Lists'!$J$35:$K$38,2,FALSE))</f>
        <v/>
      </c>
      <c r="AW79" s="662" t="str">
        <f>IF(D79="","",VLOOKUP(D79,'10. Condition and Temporal'!$B$6:$M$103,4,FALSE))</f>
        <v/>
      </c>
      <c r="AX79" s="662" t="str">
        <f t="shared" si="28"/>
        <v/>
      </c>
      <c r="AY79" s="941" t="str">
        <f t="shared" si="29"/>
        <v/>
      </c>
      <c r="BA79" s="579">
        <v>12</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179</v>
      </c>
      <c r="BX79" s="581">
        <f>BM66</f>
        <v>0</v>
      </c>
    </row>
    <row r="80" spans="1:76" s="520" customFormat="1" ht="15.6" customHeight="1" x14ac:dyDescent="0.25">
      <c r="A80" s="575"/>
      <c r="B80" s="744">
        <v>13</v>
      </c>
      <c r="C80" s="605" t="str">
        <f t="shared" si="11"/>
        <v/>
      </c>
      <c r="D80" s="688" t="str">
        <f t="shared" si="12"/>
        <v/>
      </c>
      <c r="E80" s="651" t="str">
        <f t="shared" si="13"/>
        <v/>
      </c>
      <c r="F80" s="290"/>
      <c r="G80" s="289"/>
      <c r="H80" s="648" t="str">
        <f t="shared" si="14"/>
        <v/>
      </c>
      <c r="I80" s="801" t="str">
        <f t="shared" si="15"/>
        <v/>
      </c>
      <c r="J80" s="293" t="str">
        <f>IFERROR(IF(F80="","",VLOOKUP(F80,'10. Condition and Temporal'!$B$6:$F$103,5,FALSE)), "Error ▲")</f>
        <v/>
      </c>
      <c r="K80" s="292"/>
      <c r="L80" s="763" t="str">
        <f t="shared" si="16"/>
        <v/>
      </c>
      <c r="M80" s="330" t="str">
        <f t="shared" si="17"/>
        <v/>
      </c>
      <c r="N80" s="291"/>
      <c r="O80" s="560"/>
      <c r="P80" s="508"/>
      <c r="R80" s="410"/>
      <c r="T80" s="662" t="str">
        <f t="shared" si="18"/>
        <v/>
      </c>
      <c r="U80" s="600" t="str">
        <f t="shared" si="19"/>
        <v/>
      </c>
      <c r="V80" s="580" t="str">
        <f t="shared" si="20"/>
        <v/>
      </c>
      <c r="W80" s="579" t="str">
        <f t="shared" si="20"/>
        <v/>
      </c>
      <c r="X80" s="580" t="str">
        <f t="shared" si="20"/>
        <v/>
      </c>
      <c r="Y80" s="852"/>
      <c r="Z80" s="823"/>
      <c r="AA80" s="985"/>
      <c r="AB80" s="579" t="str">
        <f t="shared" si="21"/>
        <v/>
      </c>
      <c r="AC80" s="601" t="str">
        <f t="shared" si="22"/>
        <v/>
      </c>
      <c r="AD80" s="662" t="str">
        <f t="shared" si="23"/>
        <v/>
      </c>
      <c r="AE80" s="662" t="str">
        <f t="shared" si="24"/>
        <v/>
      </c>
      <c r="AF80" s="989" t="str">
        <f t="shared" si="25"/>
        <v/>
      </c>
      <c r="AG80" s="600" t="str">
        <f>IF(D80="","",VLOOKUP(F80,'9. All Habitats + Multipliers'!$C$4:$K$102,5,FALSE))</f>
        <v/>
      </c>
      <c r="AH80" s="824" t="str">
        <f>IF(AG80="","",VLOOKUP(AG80,'11. Lists'!$B$47:$D$49,2,FALSE))</f>
        <v/>
      </c>
      <c r="AI80" s="579" t="str">
        <f t="shared" si="26"/>
        <v/>
      </c>
      <c r="AJ80" s="580" t="str">
        <f>IF(AI80="","",VLOOKUP(AI80,'11. Lists'!$F$47:$G$51,2,FALSE))</f>
        <v/>
      </c>
      <c r="AK80" s="852"/>
      <c r="AL80" s="823"/>
      <c r="AM80" s="985"/>
      <c r="AN80" s="579" t="str">
        <f t="shared" si="27"/>
        <v/>
      </c>
      <c r="AO80" s="581" t="str">
        <f>IF(AN80="","",VLOOKUP(AN80,'11. Lists'!$F$36:$H$38,2,FALSE))</f>
        <v/>
      </c>
      <c r="AP80" s="580" t="str">
        <f>IF(AN80="","",VLOOKUP(AN80,'11. Lists'!$F$36:$H$38,3,FALSE))</f>
        <v/>
      </c>
      <c r="AQ80" s="600" t="str">
        <f>IF(D80="","",IF(AX80="Distinctiveness","N/A",VLOOKUP(F80,'10. Condition and Temporal'!$B$6:$L$103,11,FALSE)))</f>
        <v/>
      </c>
      <c r="AR80" s="604" t="str">
        <f>IF(AQ80="","",IF(AQ80="N/A","1",VLOOKUP(AQ80,'11. Lists'!$I$47:$K$80,3,FALSE)))</f>
        <v/>
      </c>
      <c r="AS80" s="1002" t="str">
        <f>IF(D80="","",IF(AX80="Condition","N/A",VLOOKUP(F80,'10. Condition and Temporal'!$B$6:$M$106,12,FALSE)))</f>
        <v/>
      </c>
      <c r="AT80" s="604" t="str">
        <f>IF(AS80="","",IF(AS80="N/A","1",VLOOKUP(AS80,'11. Lists'!$I$47:$K$80,3,FALSE)))</f>
        <v/>
      </c>
      <c r="AU80" s="600" t="str">
        <f>IF(D80="","",VLOOKUP(F80,'9. All Habitats + Multipliers'!$C$4:$K$102,8,FALSE))</f>
        <v/>
      </c>
      <c r="AV80" s="601" t="str">
        <f>IF(AU80="","",VLOOKUP(AU80,'11. Lists'!$J$35:$K$38,2,FALSE))</f>
        <v/>
      </c>
      <c r="AW80" s="662" t="str">
        <f>IF(D80="","",VLOOKUP(D80,'10. Condition and Temporal'!$B$6:$M$103,4,FALSE))</f>
        <v/>
      </c>
      <c r="AX80" s="662" t="str">
        <f t="shared" si="28"/>
        <v/>
      </c>
      <c r="AY80" s="941" t="str">
        <f t="shared" si="29"/>
        <v/>
      </c>
      <c r="BA80" s="579">
        <v>13</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180</v>
      </c>
      <c r="BX80" s="581">
        <f>BN66</f>
        <v>0</v>
      </c>
    </row>
    <row r="81" spans="1:76" s="520" customFormat="1" ht="15.6" customHeight="1" x14ac:dyDescent="0.25">
      <c r="A81" s="575"/>
      <c r="B81" s="744">
        <v>14</v>
      </c>
      <c r="C81" s="605" t="str">
        <f t="shared" si="11"/>
        <v/>
      </c>
      <c r="D81" s="688" t="str">
        <f t="shared" si="12"/>
        <v/>
      </c>
      <c r="E81" s="651" t="str">
        <f t="shared" si="13"/>
        <v/>
      </c>
      <c r="F81" s="290"/>
      <c r="G81" s="289"/>
      <c r="H81" s="648" t="str">
        <f t="shared" si="14"/>
        <v/>
      </c>
      <c r="I81" s="801" t="str">
        <f t="shared" si="15"/>
        <v/>
      </c>
      <c r="J81" s="293" t="str">
        <f>IFERROR(IF(F81="","",VLOOKUP(F81,'10. Condition and Temporal'!$B$6:$F$103,5,FALSE)), "Error ▲")</f>
        <v/>
      </c>
      <c r="K81" s="292"/>
      <c r="L81" s="763" t="str">
        <f t="shared" si="16"/>
        <v/>
      </c>
      <c r="M81" s="330" t="str">
        <f t="shared" si="17"/>
        <v/>
      </c>
      <c r="N81" s="291"/>
      <c r="O81" s="560"/>
      <c r="P81" s="508"/>
      <c r="R81" s="410"/>
      <c r="T81" s="662" t="str">
        <f t="shared" si="18"/>
        <v/>
      </c>
      <c r="U81" s="600" t="str">
        <f t="shared" si="19"/>
        <v/>
      </c>
      <c r="V81" s="580" t="str">
        <f t="shared" si="20"/>
        <v/>
      </c>
      <c r="W81" s="579" t="str">
        <f t="shared" si="20"/>
        <v/>
      </c>
      <c r="X81" s="580" t="str">
        <f t="shared" si="20"/>
        <v/>
      </c>
      <c r="Y81" s="852"/>
      <c r="Z81" s="823"/>
      <c r="AA81" s="985"/>
      <c r="AB81" s="579" t="str">
        <f t="shared" si="21"/>
        <v/>
      </c>
      <c r="AC81" s="601" t="str">
        <f t="shared" si="22"/>
        <v/>
      </c>
      <c r="AD81" s="662" t="str">
        <f t="shared" si="23"/>
        <v/>
      </c>
      <c r="AE81" s="662" t="str">
        <f t="shared" si="24"/>
        <v/>
      </c>
      <c r="AF81" s="989" t="str">
        <f t="shared" si="25"/>
        <v/>
      </c>
      <c r="AG81" s="600" t="str">
        <f>IF(D81="","",VLOOKUP(F81,'9. All Habitats + Multipliers'!$C$4:$K$102,5,FALSE))</f>
        <v/>
      </c>
      <c r="AH81" s="824" t="str">
        <f>IF(AG81="","",VLOOKUP(AG81,'11. Lists'!$B$47:$D$49,2,FALSE))</f>
        <v/>
      </c>
      <c r="AI81" s="579" t="str">
        <f t="shared" si="26"/>
        <v/>
      </c>
      <c r="AJ81" s="580" t="str">
        <f>IF(AI81="","",VLOOKUP(AI81,'11. Lists'!$F$47:$G$51,2,FALSE))</f>
        <v/>
      </c>
      <c r="AK81" s="852"/>
      <c r="AL81" s="823"/>
      <c r="AM81" s="985"/>
      <c r="AN81" s="579" t="str">
        <f t="shared" si="27"/>
        <v/>
      </c>
      <c r="AO81" s="581" t="str">
        <f>IF(AN81="","",VLOOKUP(AN81,'11. Lists'!$F$36:$H$38,2,FALSE))</f>
        <v/>
      </c>
      <c r="AP81" s="580" t="str">
        <f>IF(AN81="","",VLOOKUP(AN81,'11. Lists'!$F$36:$H$38,3,FALSE))</f>
        <v/>
      </c>
      <c r="AQ81" s="600" t="str">
        <f>IF(D81="","",IF(AX81="Distinctiveness","N/A",VLOOKUP(F81,'10. Condition and Temporal'!$B$6:$L$103,11,FALSE)))</f>
        <v/>
      </c>
      <c r="AR81" s="604" t="str">
        <f>IF(AQ81="","",IF(AQ81="N/A","1",VLOOKUP(AQ81,'11. Lists'!$I$47:$K$80,3,FALSE)))</f>
        <v/>
      </c>
      <c r="AS81" s="1002" t="str">
        <f>IF(D81="","",IF(AX81="Condition","N/A",VLOOKUP(F81,'10. Condition and Temporal'!$B$6:$M$106,12,FALSE)))</f>
        <v/>
      </c>
      <c r="AT81" s="604" t="str">
        <f>IF(AS81="","",IF(AS81="N/A","1",VLOOKUP(AS81,'11. Lists'!$I$47:$K$80,3,FALSE)))</f>
        <v/>
      </c>
      <c r="AU81" s="600" t="str">
        <f>IF(D81="","",VLOOKUP(F81,'9. All Habitats + Multipliers'!$C$4:$K$102,8,FALSE))</f>
        <v/>
      </c>
      <c r="AV81" s="601" t="str">
        <f>IF(AU81="","",VLOOKUP(AU81,'11. Lists'!$J$35:$K$38,2,FALSE))</f>
        <v/>
      </c>
      <c r="AW81" s="662" t="str">
        <f>IF(D81="","",VLOOKUP(D81,'10. Condition and Temporal'!$B$6:$M$103,4,FALSE))</f>
        <v/>
      </c>
      <c r="AX81" s="662" t="str">
        <f t="shared" si="28"/>
        <v/>
      </c>
      <c r="AY81" s="941" t="str">
        <f t="shared" si="29"/>
        <v/>
      </c>
      <c r="BA81" s="579">
        <v>14</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181</v>
      </c>
      <c r="BX81" s="581">
        <f>BO66</f>
        <v>0</v>
      </c>
    </row>
    <row r="82" spans="1:76" s="520" customFormat="1" ht="15.6" customHeight="1" x14ac:dyDescent="0.25">
      <c r="A82" s="575"/>
      <c r="B82" s="744">
        <v>15</v>
      </c>
      <c r="C82" s="605" t="str">
        <f t="shared" si="11"/>
        <v/>
      </c>
      <c r="D82" s="688" t="str">
        <f t="shared" si="12"/>
        <v/>
      </c>
      <c r="E82" s="651" t="str">
        <f t="shared" si="13"/>
        <v/>
      </c>
      <c r="F82" s="290"/>
      <c r="G82" s="289"/>
      <c r="H82" s="648" t="str">
        <f t="shared" si="14"/>
        <v/>
      </c>
      <c r="I82" s="801" t="str">
        <f t="shared" si="15"/>
        <v/>
      </c>
      <c r="J82" s="293" t="str">
        <f>IFERROR(IF(F82="","",VLOOKUP(F82,'10. Condition and Temporal'!$B$6:$F$103,5,FALSE)), "Error ▲")</f>
        <v/>
      </c>
      <c r="K82" s="292"/>
      <c r="L82" s="763" t="str">
        <f t="shared" si="16"/>
        <v/>
      </c>
      <c r="M82" s="330" t="str">
        <f t="shared" si="17"/>
        <v/>
      </c>
      <c r="N82" s="291"/>
      <c r="O82" s="560"/>
      <c r="P82" s="508"/>
      <c r="R82" s="410"/>
      <c r="T82" s="662" t="str">
        <f t="shared" si="18"/>
        <v/>
      </c>
      <c r="U82" s="600" t="str">
        <f t="shared" si="19"/>
        <v/>
      </c>
      <c r="V82" s="580" t="str">
        <f t="shared" si="20"/>
        <v/>
      </c>
      <c r="W82" s="579" t="str">
        <f t="shared" si="20"/>
        <v/>
      </c>
      <c r="X82" s="580" t="str">
        <f t="shared" si="20"/>
        <v/>
      </c>
      <c r="Y82" s="852"/>
      <c r="Z82" s="823"/>
      <c r="AA82" s="985"/>
      <c r="AB82" s="579" t="str">
        <f t="shared" si="21"/>
        <v/>
      </c>
      <c r="AC82" s="601" t="str">
        <f t="shared" si="22"/>
        <v/>
      </c>
      <c r="AD82" s="662" t="str">
        <f t="shared" si="23"/>
        <v/>
      </c>
      <c r="AE82" s="662" t="str">
        <f t="shared" si="24"/>
        <v/>
      </c>
      <c r="AF82" s="989" t="str">
        <f t="shared" si="25"/>
        <v/>
      </c>
      <c r="AG82" s="600" t="str">
        <f>IF(D82="","",VLOOKUP(F82,'9. All Habitats + Multipliers'!$C$4:$K$102,5,FALSE))</f>
        <v/>
      </c>
      <c r="AH82" s="824" t="str">
        <f>IF(AG82="","",VLOOKUP(AG82,'11. Lists'!$B$47:$D$49,2,FALSE))</f>
        <v/>
      </c>
      <c r="AI82" s="579" t="str">
        <f t="shared" si="26"/>
        <v/>
      </c>
      <c r="AJ82" s="580" t="str">
        <f>IF(AI82="","",VLOOKUP(AI82,'11. Lists'!$F$47:$G$51,2,FALSE))</f>
        <v/>
      </c>
      <c r="AK82" s="852"/>
      <c r="AL82" s="823"/>
      <c r="AM82" s="985"/>
      <c r="AN82" s="579" t="str">
        <f t="shared" si="27"/>
        <v/>
      </c>
      <c r="AO82" s="581" t="str">
        <f>IF(AN82="","",VLOOKUP(AN82,'11. Lists'!$F$36:$H$38,2,FALSE))</f>
        <v/>
      </c>
      <c r="AP82" s="580" t="str">
        <f>IF(AN82="","",VLOOKUP(AN82,'11. Lists'!$F$36:$H$38,3,FALSE))</f>
        <v/>
      </c>
      <c r="AQ82" s="600" t="str">
        <f>IF(D82="","",IF(AX82="Distinctiveness","N/A",VLOOKUP(F82,'10. Condition and Temporal'!$B$6:$L$103,11,FALSE)))</f>
        <v/>
      </c>
      <c r="AR82" s="604" t="str">
        <f>IF(AQ82="","",IF(AQ82="N/A","1",VLOOKUP(AQ82,'11. Lists'!$I$47:$K$80,3,FALSE)))</f>
        <v/>
      </c>
      <c r="AS82" s="1002" t="str">
        <f>IF(D82="","",IF(AX82="Condition","N/A",VLOOKUP(F82,'10. Condition and Temporal'!$B$6:$M$106,12,FALSE)))</f>
        <v/>
      </c>
      <c r="AT82" s="604" t="str">
        <f>IF(AS82="","",IF(AS82="N/A","1",VLOOKUP(AS82,'11. Lists'!$I$47:$K$80,3,FALSE)))</f>
        <v/>
      </c>
      <c r="AU82" s="600" t="str">
        <f>IF(D82="","",VLOOKUP(F82,'9. All Habitats + Multipliers'!$C$4:$K$102,8,FALSE))</f>
        <v/>
      </c>
      <c r="AV82" s="601" t="str">
        <f>IF(AU82="","",VLOOKUP(AU82,'11. Lists'!$J$35:$K$38,2,FALSE))</f>
        <v/>
      </c>
      <c r="AW82" s="662" t="str">
        <f>IF(D82="","",VLOOKUP(D82,'10. Condition and Temporal'!$B$6:$M$103,4,FALSE))</f>
        <v/>
      </c>
      <c r="AX82" s="662" t="str">
        <f t="shared" si="28"/>
        <v/>
      </c>
      <c r="AY82" s="941" t="str">
        <f t="shared" si="29"/>
        <v/>
      </c>
      <c r="BA82" s="579">
        <v>15</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182</v>
      </c>
      <c r="BX82" s="581">
        <f>BP66</f>
        <v>0</v>
      </c>
    </row>
    <row r="83" spans="1:76" s="520" customFormat="1" ht="15.6" customHeight="1" x14ac:dyDescent="0.25">
      <c r="A83" s="575"/>
      <c r="B83" s="744">
        <v>16</v>
      </c>
      <c r="C83" s="605" t="str">
        <f t="shared" si="11"/>
        <v/>
      </c>
      <c r="D83" s="688" t="str">
        <f t="shared" si="12"/>
        <v/>
      </c>
      <c r="E83" s="651" t="str">
        <f t="shared" si="13"/>
        <v/>
      </c>
      <c r="F83" s="290"/>
      <c r="G83" s="289"/>
      <c r="H83" s="648" t="str">
        <f t="shared" si="14"/>
        <v/>
      </c>
      <c r="I83" s="801" t="str">
        <f t="shared" si="15"/>
        <v/>
      </c>
      <c r="J83" s="293" t="str">
        <f>IFERROR(IF(F83="","",VLOOKUP(F83,'10. Condition and Temporal'!$B$6:$F$103,5,FALSE)), "Error ▲")</f>
        <v/>
      </c>
      <c r="K83" s="292"/>
      <c r="L83" s="763" t="str">
        <f t="shared" si="16"/>
        <v/>
      </c>
      <c r="M83" s="330" t="str">
        <f t="shared" si="17"/>
        <v/>
      </c>
      <c r="N83" s="291"/>
      <c r="O83" s="560"/>
      <c r="P83" s="508"/>
      <c r="R83" s="410"/>
      <c r="T83" s="662" t="str">
        <f t="shared" si="18"/>
        <v/>
      </c>
      <c r="U83" s="600" t="str">
        <f t="shared" si="19"/>
        <v/>
      </c>
      <c r="V83" s="580" t="str">
        <f t="shared" si="20"/>
        <v/>
      </c>
      <c r="W83" s="579" t="str">
        <f t="shared" si="20"/>
        <v/>
      </c>
      <c r="X83" s="580" t="str">
        <f t="shared" si="20"/>
        <v/>
      </c>
      <c r="Y83" s="852"/>
      <c r="Z83" s="823"/>
      <c r="AA83" s="985"/>
      <c r="AB83" s="579" t="str">
        <f t="shared" si="21"/>
        <v/>
      </c>
      <c r="AC83" s="601" t="str">
        <f t="shared" si="22"/>
        <v/>
      </c>
      <c r="AD83" s="662" t="str">
        <f t="shared" si="23"/>
        <v/>
      </c>
      <c r="AE83" s="662" t="str">
        <f t="shared" si="24"/>
        <v/>
      </c>
      <c r="AF83" s="989" t="str">
        <f t="shared" si="25"/>
        <v/>
      </c>
      <c r="AG83" s="600" t="str">
        <f>IF(D83="","",VLOOKUP(F83,'9. All Habitats + Multipliers'!$C$4:$K$102,5,FALSE))</f>
        <v/>
      </c>
      <c r="AH83" s="824" t="str">
        <f>IF(AG83="","",VLOOKUP(AG83,'11. Lists'!$B$47:$D$49,2,FALSE))</f>
        <v/>
      </c>
      <c r="AI83" s="579" t="str">
        <f t="shared" si="26"/>
        <v/>
      </c>
      <c r="AJ83" s="580" t="str">
        <f>IF(AI83="","",VLOOKUP(AI83,'11. Lists'!$F$47:$G$51,2,FALSE))</f>
        <v/>
      </c>
      <c r="AK83" s="852"/>
      <c r="AL83" s="823"/>
      <c r="AM83" s="985"/>
      <c r="AN83" s="579" t="str">
        <f t="shared" si="27"/>
        <v/>
      </c>
      <c r="AO83" s="581" t="str">
        <f>IF(AN83="","",VLOOKUP(AN83,'11. Lists'!$F$36:$H$38,2,FALSE))</f>
        <v/>
      </c>
      <c r="AP83" s="580" t="str">
        <f>IF(AN83="","",VLOOKUP(AN83,'11. Lists'!$F$36:$H$38,3,FALSE))</f>
        <v/>
      </c>
      <c r="AQ83" s="600" t="str">
        <f>IF(D83="","",IF(AX83="Distinctiveness","N/A",VLOOKUP(F83,'10. Condition and Temporal'!$B$6:$L$103,11,FALSE)))</f>
        <v/>
      </c>
      <c r="AR83" s="604" t="str">
        <f>IF(AQ83="","",IF(AQ83="N/A","1",VLOOKUP(AQ83,'11. Lists'!$I$47:$K$80,3,FALSE)))</f>
        <v/>
      </c>
      <c r="AS83" s="1002" t="str">
        <f>IF(D83="","",IF(AX83="Condition","N/A",VLOOKUP(F83,'10. Condition and Temporal'!$B$6:$M$106,12,FALSE)))</f>
        <v/>
      </c>
      <c r="AT83" s="604" t="str">
        <f>IF(AS83="","",IF(AS83="N/A","1",VLOOKUP(AS83,'11. Lists'!$I$47:$K$80,3,FALSE)))</f>
        <v/>
      </c>
      <c r="AU83" s="600" t="str">
        <f>IF(D83="","",VLOOKUP(F83,'9. All Habitats + Multipliers'!$C$4:$K$102,8,FALSE))</f>
        <v/>
      </c>
      <c r="AV83" s="601" t="str">
        <f>IF(AU83="","",VLOOKUP(AU83,'11. Lists'!$J$35:$K$38,2,FALSE))</f>
        <v/>
      </c>
      <c r="AW83" s="662" t="str">
        <f>IF(D83="","",VLOOKUP(D83,'10. Condition and Temporal'!$B$6:$M$103,4,FALSE))</f>
        <v/>
      </c>
      <c r="AX83" s="662" t="str">
        <f t="shared" si="28"/>
        <v/>
      </c>
      <c r="AY83" s="941" t="str">
        <f t="shared" si="29"/>
        <v/>
      </c>
      <c r="BA83" s="579">
        <v>16</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183</v>
      </c>
      <c r="BX83" s="581">
        <f>BQ66</f>
        <v>0</v>
      </c>
    </row>
    <row r="84" spans="1:76" s="520" customFormat="1" ht="15.6" customHeight="1" x14ac:dyDescent="0.25">
      <c r="A84" s="575"/>
      <c r="B84" s="744">
        <v>17</v>
      </c>
      <c r="C84" s="605" t="str">
        <f t="shared" si="11"/>
        <v/>
      </c>
      <c r="D84" s="688" t="str">
        <f t="shared" si="12"/>
        <v/>
      </c>
      <c r="E84" s="651" t="str">
        <f t="shared" si="13"/>
        <v/>
      </c>
      <c r="F84" s="290"/>
      <c r="G84" s="289"/>
      <c r="H84" s="648" t="str">
        <f t="shared" si="14"/>
        <v/>
      </c>
      <c r="I84" s="801" t="str">
        <f t="shared" si="15"/>
        <v/>
      </c>
      <c r="J84" s="293" t="str">
        <f>IFERROR(IF(F84="","",VLOOKUP(F84,'10. Condition and Temporal'!$B$6:$F$103,5,FALSE)), "Error ▲")</f>
        <v/>
      </c>
      <c r="K84" s="292"/>
      <c r="L84" s="763" t="str">
        <f t="shared" si="16"/>
        <v/>
      </c>
      <c r="M84" s="330" t="str">
        <f t="shared" si="17"/>
        <v/>
      </c>
      <c r="N84" s="291"/>
      <c r="O84" s="560"/>
      <c r="P84" s="508"/>
      <c r="R84" s="410"/>
      <c r="T84" s="662" t="str">
        <f t="shared" si="18"/>
        <v/>
      </c>
      <c r="U84" s="600" t="str">
        <f t="shared" si="19"/>
        <v/>
      </c>
      <c r="V84" s="580" t="str">
        <f t="shared" si="20"/>
        <v/>
      </c>
      <c r="W84" s="579" t="str">
        <f t="shared" si="20"/>
        <v/>
      </c>
      <c r="X84" s="580" t="str">
        <f t="shared" si="20"/>
        <v/>
      </c>
      <c r="Y84" s="852"/>
      <c r="Z84" s="823"/>
      <c r="AA84" s="985"/>
      <c r="AB84" s="579" t="str">
        <f t="shared" si="21"/>
        <v/>
      </c>
      <c r="AC84" s="601" t="str">
        <f t="shared" si="22"/>
        <v/>
      </c>
      <c r="AD84" s="662" t="str">
        <f t="shared" si="23"/>
        <v/>
      </c>
      <c r="AE84" s="662" t="str">
        <f t="shared" si="24"/>
        <v/>
      </c>
      <c r="AF84" s="989" t="str">
        <f t="shared" si="25"/>
        <v/>
      </c>
      <c r="AG84" s="600" t="str">
        <f>IF(D84="","",VLOOKUP(F84,'9. All Habitats + Multipliers'!$C$4:$K$102,5,FALSE))</f>
        <v/>
      </c>
      <c r="AH84" s="824" t="str">
        <f>IF(AG84="","",VLOOKUP(AG84,'11. Lists'!$B$47:$D$49,2,FALSE))</f>
        <v/>
      </c>
      <c r="AI84" s="579" t="str">
        <f t="shared" si="26"/>
        <v/>
      </c>
      <c r="AJ84" s="580" t="str">
        <f>IF(AI84="","",VLOOKUP(AI84,'11. Lists'!$F$47:$G$51,2,FALSE))</f>
        <v/>
      </c>
      <c r="AK84" s="852"/>
      <c r="AL84" s="823"/>
      <c r="AM84" s="985"/>
      <c r="AN84" s="579" t="str">
        <f t="shared" si="27"/>
        <v/>
      </c>
      <c r="AO84" s="581" t="str">
        <f>IF(AN84="","",VLOOKUP(AN84,'11. Lists'!$F$36:$H$38,2,FALSE))</f>
        <v/>
      </c>
      <c r="AP84" s="580" t="str">
        <f>IF(AN84="","",VLOOKUP(AN84,'11. Lists'!$F$36:$H$38,3,FALSE))</f>
        <v/>
      </c>
      <c r="AQ84" s="600" t="str">
        <f>IF(D84="","",IF(AX84="Distinctiveness","N/A",VLOOKUP(F84,'10. Condition and Temporal'!$B$6:$L$103,11,FALSE)))</f>
        <v/>
      </c>
      <c r="AR84" s="604" t="str">
        <f>IF(AQ84="","",IF(AQ84="N/A","1",VLOOKUP(AQ84,'11. Lists'!$I$47:$K$80,3,FALSE)))</f>
        <v/>
      </c>
      <c r="AS84" s="1002" t="str">
        <f>IF(D84="","",IF(AX84="Condition","N/A",VLOOKUP(F84,'10. Condition and Temporal'!$B$6:$M$106,12,FALSE)))</f>
        <v/>
      </c>
      <c r="AT84" s="604" t="str">
        <f>IF(AS84="","",IF(AS84="N/A","1",VLOOKUP(AS84,'11. Lists'!$I$47:$K$80,3,FALSE)))</f>
        <v/>
      </c>
      <c r="AU84" s="600" t="str">
        <f>IF(D84="","",VLOOKUP(F84,'9. All Habitats + Multipliers'!$C$4:$K$102,8,FALSE))</f>
        <v/>
      </c>
      <c r="AV84" s="601" t="str">
        <f>IF(AU84="","",VLOOKUP(AU84,'11. Lists'!$J$35:$K$38,2,FALSE))</f>
        <v/>
      </c>
      <c r="AW84" s="662" t="str">
        <f>IF(D84="","",VLOOKUP(D84,'10. Condition and Temporal'!$B$6:$M$103,4,FALSE))</f>
        <v/>
      </c>
      <c r="AX84" s="662" t="str">
        <f t="shared" si="28"/>
        <v/>
      </c>
      <c r="AY84" s="941" t="str">
        <f t="shared" si="29"/>
        <v/>
      </c>
      <c r="BA84" s="579">
        <v>17</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184</v>
      </c>
      <c r="BX84" s="581">
        <f>BR66</f>
        <v>0</v>
      </c>
    </row>
    <row r="85" spans="1:76" s="520" customFormat="1" ht="15.6" customHeight="1" x14ac:dyDescent="0.25">
      <c r="A85" s="575"/>
      <c r="B85" s="744">
        <v>18</v>
      </c>
      <c r="C85" s="605" t="str">
        <f t="shared" si="11"/>
        <v/>
      </c>
      <c r="D85" s="688" t="str">
        <f t="shared" si="12"/>
        <v/>
      </c>
      <c r="E85" s="651" t="str">
        <f t="shared" si="13"/>
        <v/>
      </c>
      <c r="F85" s="290"/>
      <c r="G85" s="289"/>
      <c r="H85" s="648" t="str">
        <f t="shared" si="14"/>
        <v/>
      </c>
      <c r="I85" s="801" t="str">
        <f t="shared" si="15"/>
        <v/>
      </c>
      <c r="J85" s="293" t="str">
        <f>IFERROR(IF(F85="","",VLOOKUP(F85,'10. Condition and Temporal'!$B$6:$F$103,5,FALSE)), "Error ▲")</f>
        <v/>
      </c>
      <c r="K85" s="292"/>
      <c r="L85" s="763" t="str">
        <f t="shared" si="16"/>
        <v/>
      </c>
      <c r="M85" s="330" t="str">
        <f t="shared" si="17"/>
        <v/>
      </c>
      <c r="N85" s="291"/>
      <c r="O85" s="560"/>
      <c r="P85" s="508"/>
      <c r="R85" s="410"/>
      <c r="T85" s="662" t="str">
        <f t="shared" si="18"/>
        <v/>
      </c>
      <c r="U85" s="600" t="str">
        <f t="shared" si="19"/>
        <v/>
      </c>
      <c r="V85" s="580" t="str">
        <f t="shared" si="20"/>
        <v/>
      </c>
      <c r="W85" s="579" t="str">
        <f t="shared" si="20"/>
        <v/>
      </c>
      <c r="X85" s="580" t="str">
        <f t="shared" si="20"/>
        <v/>
      </c>
      <c r="Y85" s="852"/>
      <c r="Z85" s="823"/>
      <c r="AA85" s="985"/>
      <c r="AB85" s="579" t="str">
        <f t="shared" si="21"/>
        <v/>
      </c>
      <c r="AC85" s="601" t="str">
        <f t="shared" si="22"/>
        <v/>
      </c>
      <c r="AD85" s="662" t="str">
        <f t="shared" si="23"/>
        <v/>
      </c>
      <c r="AE85" s="662" t="str">
        <f t="shared" si="24"/>
        <v/>
      </c>
      <c r="AF85" s="989" t="str">
        <f t="shared" si="25"/>
        <v/>
      </c>
      <c r="AG85" s="600" t="str">
        <f>IF(D85="","",VLOOKUP(F85,'9. All Habitats + Multipliers'!$C$4:$K$102,5,FALSE))</f>
        <v/>
      </c>
      <c r="AH85" s="824" t="str">
        <f>IF(AG85="","",VLOOKUP(AG85,'11. Lists'!$B$47:$D$49,2,FALSE))</f>
        <v/>
      </c>
      <c r="AI85" s="579" t="str">
        <f t="shared" si="26"/>
        <v/>
      </c>
      <c r="AJ85" s="580" t="str">
        <f>IF(AI85="","",VLOOKUP(AI85,'11. Lists'!$F$47:$G$51,2,FALSE))</f>
        <v/>
      </c>
      <c r="AK85" s="852"/>
      <c r="AL85" s="823"/>
      <c r="AM85" s="985"/>
      <c r="AN85" s="579" t="str">
        <f t="shared" si="27"/>
        <v/>
      </c>
      <c r="AO85" s="581" t="str">
        <f>IF(AN85="","",VLOOKUP(AN85,'11. Lists'!$F$36:$H$38,2,FALSE))</f>
        <v/>
      </c>
      <c r="AP85" s="580" t="str">
        <f>IF(AN85="","",VLOOKUP(AN85,'11. Lists'!$F$36:$H$38,3,FALSE))</f>
        <v/>
      </c>
      <c r="AQ85" s="600" t="str">
        <f>IF(D85="","",IF(AX85="Distinctiveness","N/A",VLOOKUP(F85,'10. Condition and Temporal'!$B$6:$L$103,11,FALSE)))</f>
        <v/>
      </c>
      <c r="AR85" s="604" t="str">
        <f>IF(AQ85="","",IF(AQ85="N/A","1",VLOOKUP(AQ85,'11. Lists'!$I$47:$K$80,3,FALSE)))</f>
        <v/>
      </c>
      <c r="AS85" s="1002" t="str">
        <f>IF(D85="","",IF(AX85="Condition","N/A",VLOOKUP(F85,'10. Condition and Temporal'!$B$6:$M$106,12,FALSE)))</f>
        <v/>
      </c>
      <c r="AT85" s="604" t="str">
        <f>IF(AS85="","",IF(AS85="N/A","1",VLOOKUP(AS85,'11. Lists'!$I$47:$K$80,3,FALSE)))</f>
        <v/>
      </c>
      <c r="AU85" s="600" t="str">
        <f>IF(D85="","",VLOOKUP(F85,'9. All Habitats + Multipliers'!$C$4:$K$102,8,FALSE))</f>
        <v/>
      </c>
      <c r="AV85" s="601" t="str">
        <f>IF(AU85="","",VLOOKUP(AU85,'11. Lists'!$J$35:$K$38,2,FALSE))</f>
        <v/>
      </c>
      <c r="AW85" s="662" t="str">
        <f>IF(D85="","",VLOOKUP(D85,'10. Condition and Temporal'!$B$6:$M$103,4,FALSE))</f>
        <v/>
      </c>
      <c r="AX85" s="662" t="str">
        <f t="shared" si="28"/>
        <v/>
      </c>
      <c r="AY85" s="941" t="str">
        <f t="shared" si="29"/>
        <v/>
      </c>
      <c r="BA85" s="579">
        <v>18</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185</v>
      </c>
      <c r="BX85" s="581">
        <f>BS66</f>
        <v>0</v>
      </c>
    </row>
    <row r="86" spans="1:76" s="520" customFormat="1" ht="15.6" customHeight="1" x14ac:dyDescent="0.25">
      <c r="A86" s="575"/>
      <c r="B86" s="744">
        <v>19</v>
      </c>
      <c r="C86" s="605" t="str">
        <f t="shared" si="11"/>
        <v/>
      </c>
      <c r="D86" s="688" t="str">
        <f t="shared" si="12"/>
        <v/>
      </c>
      <c r="E86" s="651" t="str">
        <f t="shared" si="13"/>
        <v/>
      </c>
      <c r="F86" s="290"/>
      <c r="G86" s="289"/>
      <c r="H86" s="648" t="str">
        <f t="shared" si="14"/>
        <v/>
      </c>
      <c r="I86" s="801" t="str">
        <f t="shared" si="15"/>
        <v/>
      </c>
      <c r="J86" s="293" t="str">
        <f>IFERROR(IF(F86="","",VLOOKUP(F86,'10. Condition and Temporal'!$B$6:$F$103,5,FALSE)), "Error ▲")</f>
        <v/>
      </c>
      <c r="K86" s="292"/>
      <c r="L86" s="763" t="str">
        <f t="shared" si="16"/>
        <v/>
      </c>
      <c r="M86" s="330" t="str">
        <f t="shared" si="17"/>
        <v/>
      </c>
      <c r="N86" s="291"/>
      <c r="O86" s="560"/>
      <c r="P86" s="508"/>
      <c r="R86" s="410"/>
      <c r="T86" s="662" t="str">
        <f t="shared" si="18"/>
        <v/>
      </c>
      <c r="U86" s="600" t="str">
        <f t="shared" si="19"/>
        <v/>
      </c>
      <c r="V86" s="580" t="str">
        <f t="shared" si="20"/>
        <v/>
      </c>
      <c r="W86" s="579" t="str">
        <f t="shared" si="20"/>
        <v/>
      </c>
      <c r="X86" s="580" t="str">
        <f t="shared" si="20"/>
        <v/>
      </c>
      <c r="Y86" s="852"/>
      <c r="Z86" s="823"/>
      <c r="AA86" s="985"/>
      <c r="AB86" s="579" t="str">
        <f t="shared" si="21"/>
        <v/>
      </c>
      <c r="AC86" s="601" t="str">
        <f t="shared" si="22"/>
        <v/>
      </c>
      <c r="AD86" s="662" t="str">
        <f t="shared" si="23"/>
        <v/>
      </c>
      <c r="AE86" s="662" t="str">
        <f t="shared" si="24"/>
        <v/>
      </c>
      <c r="AF86" s="989" t="str">
        <f t="shared" si="25"/>
        <v/>
      </c>
      <c r="AG86" s="600" t="str">
        <f>IF(D86="","",VLOOKUP(F86,'9. All Habitats + Multipliers'!$C$4:$K$102,5,FALSE))</f>
        <v/>
      </c>
      <c r="AH86" s="824" t="str">
        <f>IF(AG86="","",VLOOKUP(AG86,'11. Lists'!$B$47:$D$49,2,FALSE))</f>
        <v/>
      </c>
      <c r="AI86" s="579" t="str">
        <f t="shared" si="26"/>
        <v/>
      </c>
      <c r="AJ86" s="580" t="str">
        <f>IF(AI86="","",VLOOKUP(AI86,'11. Lists'!$F$47:$G$51,2,FALSE))</f>
        <v/>
      </c>
      <c r="AK86" s="852"/>
      <c r="AL86" s="823"/>
      <c r="AM86" s="985"/>
      <c r="AN86" s="579" t="str">
        <f t="shared" si="27"/>
        <v/>
      </c>
      <c r="AO86" s="581" t="str">
        <f>IF(AN86="","",VLOOKUP(AN86,'11. Lists'!$F$36:$H$38,2,FALSE))</f>
        <v/>
      </c>
      <c r="AP86" s="580" t="str">
        <f>IF(AN86="","",VLOOKUP(AN86,'11. Lists'!$F$36:$H$38,3,FALSE))</f>
        <v/>
      </c>
      <c r="AQ86" s="600" t="str">
        <f>IF(D86="","",IF(AX86="Distinctiveness","N/A",VLOOKUP(F86,'10. Condition and Temporal'!$B$6:$L$103,11,FALSE)))</f>
        <v/>
      </c>
      <c r="AR86" s="604" t="str">
        <f>IF(AQ86="","",IF(AQ86="N/A","1",VLOOKUP(AQ86,'11. Lists'!$I$47:$K$80,3,FALSE)))</f>
        <v/>
      </c>
      <c r="AS86" s="1002" t="str">
        <f>IF(D86="","",IF(AX86="Condition","N/A",VLOOKUP(F86,'10. Condition and Temporal'!$B$6:$M$106,12,FALSE)))</f>
        <v/>
      </c>
      <c r="AT86" s="604" t="str">
        <f>IF(AS86="","",IF(AS86="N/A","1",VLOOKUP(AS86,'11. Lists'!$I$47:$K$80,3,FALSE)))</f>
        <v/>
      </c>
      <c r="AU86" s="600" t="str">
        <f>IF(D86="","",VLOOKUP(F86,'9. All Habitats + Multipliers'!$C$4:$K$102,8,FALSE))</f>
        <v/>
      </c>
      <c r="AV86" s="601" t="str">
        <f>IF(AU86="","",VLOOKUP(AU86,'11. Lists'!$J$35:$K$38,2,FALSE))</f>
        <v/>
      </c>
      <c r="AW86" s="662" t="str">
        <f>IF(D86="","",VLOOKUP(D86,'10. Condition and Temporal'!$B$6:$M$103,4,FALSE))</f>
        <v/>
      </c>
      <c r="AX86" s="662" t="str">
        <f t="shared" si="28"/>
        <v/>
      </c>
      <c r="AY86" s="941" t="str">
        <f t="shared" si="29"/>
        <v/>
      </c>
      <c r="BA86" s="579">
        <v>19</v>
      </c>
      <c r="BB86" s="581" t="str">
        <f t="shared" si="30"/>
        <v/>
      </c>
      <c r="BC86" s="581" t="str">
        <f t="shared" si="31"/>
        <v/>
      </c>
      <c r="BD86" s="581" t="str">
        <f t="shared" si="32"/>
        <v/>
      </c>
      <c r="BE86" s="581" t="str">
        <f t="shared" si="33"/>
        <v/>
      </c>
      <c r="BF86" s="581" t="str">
        <f t="shared" si="34"/>
        <v/>
      </c>
      <c r="BG86" s="581" t="str">
        <f t="shared" si="35"/>
        <v/>
      </c>
      <c r="BH86" s="581" t="str">
        <f t="shared" si="36"/>
        <v/>
      </c>
      <c r="BI86" s="581" t="str">
        <f t="shared" si="37"/>
        <v/>
      </c>
      <c r="BJ86" s="581" t="str">
        <f t="shared" si="38"/>
        <v/>
      </c>
      <c r="BK86" s="581" t="str">
        <f t="shared" si="39"/>
        <v/>
      </c>
      <c r="BL86" s="581" t="str">
        <f t="shared" si="40"/>
        <v/>
      </c>
      <c r="BM86" s="581" t="str">
        <f t="shared" si="41"/>
        <v/>
      </c>
      <c r="BN86" s="581" t="str">
        <f t="shared" si="42"/>
        <v/>
      </c>
      <c r="BO86" s="581" t="str">
        <f t="shared" si="43"/>
        <v/>
      </c>
      <c r="BP86" s="581" t="str">
        <f t="shared" si="44"/>
        <v/>
      </c>
      <c r="BQ86" s="581" t="str">
        <f t="shared" si="45"/>
        <v/>
      </c>
      <c r="BR86" s="581" t="str">
        <f t="shared" si="46"/>
        <v/>
      </c>
      <c r="BS86" s="581" t="str">
        <f t="shared" si="47"/>
        <v/>
      </c>
      <c r="BT86" s="581" t="str">
        <f t="shared" si="48"/>
        <v/>
      </c>
      <c r="BU86" s="580" t="str">
        <f t="shared" si="49"/>
        <v/>
      </c>
      <c r="BV86" s="669" t="str">
        <f t="shared" si="50"/>
        <v/>
      </c>
      <c r="BW86" s="581" t="s">
        <v>186</v>
      </c>
      <c r="BX86" s="581">
        <f>BT66</f>
        <v>0</v>
      </c>
    </row>
    <row r="87" spans="1:76" s="520" customFormat="1" ht="16.149999999999999" customHeight="1" x14ac:dyDescent="0.25">
      <c r="A87" s="575"/>
      <c r="B87" s="745">
        <v>20</v>
      </c>
      <c r="C87" s="624" t="str">
        <f t="shared" si="11"/>
        <v/>
      </c>
      <c r="D87" s="898" t="str">
        <f t="shared" si="12"/>
        <v/>
      </c>
      <c r="E87" s="652" t="str">
        <f t="shared" si="13"/>
        <v/>
      </c>
      <c r="F87" s="288"/>
      <c r="G87" s="287"/>
      <c r="H87" s="649" t="str">
        <f t="shared" si="14"/>
        <v/>
      </c>
      <c r="I87" s="905" t="str">
        <f t="shared" si="15"/>
        <v/>
      </c>
      <c r="J87" s="286" t="str">
        <f>IFERROR(IF(F87="","",VLOOKUP(F87,'10. Condition and Temporal'!$B$6:$F$103,5,FALSE)), "Error ▲")</f>
        <v/>
      </c>
      <c r="K87" s="285"/>
      <c r="L87" s="900" t="str">
        <f t="shared" si="16"/>
        <v/>
      </c>
      <c r="M87" s="284" t="str">
        <f t="shared" si="17"/>
        <v/>
      </c>
      <c r="N87" s="283"/>
      <c r="O87" s="561"/>
      <c r="P87" s="510"/>
      <c r="R87" s="410"/>
      <c r="T87" s="663" t="str">
        <f t="shared" si="18"/>
        <v/>
      </c>
      <c r="U87" s="981" t="str">
        <f t="shared" si="19"/>
        <v/>
      </c>
      <c r="V87" s="585" t="str">
        <f t="shared" si="20"/>
        <v/>
      </c>
      <c r="W87" s="584" t="str">
        <f t="shared" si="20"/>
        <v/>
      </c>
      <c r="X87" s="585" t="str">
        <f t="shared" si="20"/>
        <v/>
      </c>
      <c r="Y87" s="982"/>
      <c r="Z87" s="827"/>
      <c r="AA87" s="986"/>
      <c r="AB87" s="584" t="str">
        <f t="shared" si="21"/>
        <v/>
      </c>
      <c r="AC87" s="987" t="str">
        <f t="shared" si="22"/>
        <v/>
      </c>
      <c r="AD87" s="663" t="str">
        <f t="shared" si="23"/>
        <v/>
      </c>
      <c r="AE87" s="663" t="str">
        <f t="shared" si="24"/>
        <v/>
      </c>
      <c r="AF87" s="990" t="str">
        <f t="shared" si="25"/>
        <v/>
      </c>
      <c r="AG87" s="981" t="str">
        <f>IF(D87="","",VLOOKUP(F87,'9. All Habitats + Multipliers'!$C$4:$K$102,5,FALSE))</f>
        <v/>
      </c>
      <c r="AH87" s="954" t="str">
        <f>IF(AG87="","",VLOOKUP(AG87,'11. Lists'!$B$47:$D$49,2,FALSE))</f>
        <v/>
      </c>
      <c r="AI87" s="584" t="str">
        <f t="shared" si="26"/>
        <v/>
      </c>
      <c r="AJ87" s="585" t="str">
        <f>IF(AI87="","",VLOOKUP(AI87,'11. Lists'!$F$47:$G$51,2,FALSE))</f>
        <v/>
      </c>
      <c r="AK87" s="852"/>
      <c r="AL87" s="823"/>
      <c r="AM87" s="985"/>
      <c r="AN87" s="584" t="str">
        <f t="shared" si="27"/>
        <v/>
      </c>
      <c r="AO87" s="586" t="str">
        <f>IF(AN87="","",VLOOKUP(AN87,'11. Lists'!$F$36:$H$38,2,FALSE))</f>
        <v/>
      </c>
      <c r="AP87" s="585" t="str">
        <f>IF(AN87="","",VLOOKUP(AN87,'11. Lists'!$F$36:$H$38,3,FALSE))</f>
        <v/>
      </c>
      <c r="AQ87" s="981" t="str">
        <f>IF(D87="","",IF(AX87="Distinctiveness","N/A",VLOOKUP(F87,'10. Condition and Temporal'!$B$6:$L$103,11,FALSE)))</f>
        <v/>
      </c>
      <c r="AR87" s="999" t="str">
        <f>IF(AQ87="","",IF(AQ87="N/A","1",VLOOKUP(AQ87,'11. Lists'!$I$47:$K$80,3,FALSE)))</f>
        <v/>
      </c>
      <c r="AS87" s="1003" t="str">
        <f>IF(D87="","",IF(AX87="Condition","N/A",VLOOKUP(F87,'10. Condition and Temporal'!$B$6:$M$106,12,FALSE)))</f>
        <v/>
      </c>
      <c r="AT87" s="999" t="str">
        <f>IF(AS87="","",IF(AS87="N/A","1",VLOOKUP(AS87,'11. Lists'!$I$47:$K$80,3,FALSE)))</f>
        <v/>
      </c>
      <c r="AU87" s="981" t="str">
        <f>IF(D87="","",VLOOKUP(F87,'9. All Habitats + Multipliers'!$C$4:$K$102,8,FALSE))</f>
        <v/>
      </c>
      <c r="AV87" s="987" t="str">
        <f>IF(AU87="","",VLOOKUP(AU87,'11. Lists'!$J$35:$K$38,2,FALSE))</f>
        <v/>
      </c>
      <c r="AW87" s="663" t="str">
        <f>IF(D87="","",VLOOKUP(D87,'10. Condition and Temporal'!$B$6:$M$103,4,FALSE))</f>
        <v/>
      </c>
      <c r="AX87" s="663" t="str">
        <f t="shared" si="28"/>
        <v/>
      </c>
      <c r="AY87" s="942" t="str">
        <f t="shared" si="29"/>
        <v/>
      </c>
      <c r="BA87" s="584">
        <v>20</v>
      </c>
      <c r="BB87" s="586" t="str">
        <f t="shared" si="30"/>
        <v/>
      </c>
      <c r="BC87" s="586" t="str">
        <f t="shared" si="31"/>
        <v/>
      </c>
      <c r="BD87" s="586" t="str">
        <f t="shared" si="32"/>
        <v/>
      </c>
      <c r="BE87" s="586" t="str">
        <f t="shared" si="33"/>
        <v/>
      </c>
      <c r="BF87" s="586" t="str">
        <f t="shared" si="34"/>
        <v/>
      </c>
      <c r="BG87" s="586" t="str">
        <f t="shared" si="35"/>
        <v/>
      </c>
      <c r="BH87" s="586" t="str">
        <f t="shared" si="36"/>
        <v/>
      </c>
      <c r="BI87" s="586" t="str">
        <f t="shared" si="37"/>
        <v/>
      </c>
      <c r="BJ87" s="586" t="str">
        <f t="shared" si="38"/>
        <v/>
      </c>
      <c r="BK87" s="586" t="str">
        <f t="shared" si="39"/>
        <v/>
      </c>
      <c r="BL87" s="586" t="str">
        <f t="shared" si="40"/>
        <v/>
      </c>
      <c r="BM87" s="586" t="str">
        <f t="shared" si="41"/>
        <v/>
      </c>
      <c r="BN87" s="586" t="str">
        <f t="shared" si="42"/>
        <v/>
      </c>
      <c r="BO87" s="586" t="str">
        <f t="shared" si="43"/>
        <v/>
      </c>
      <c r="BP87" s="586" t="str">
        <f t="shared" si="44"/>
        <v/>
      </c>
      <c r="BQ87" s="586" t="str">
        <f t="shared" si="45"/>
        <v/>
      </c>
      <c r="BR87" s="586" t="str">
        <f t="shared" si="46"/>
        <v/>
      </c>
      <c r="BS87" s="586" t="str">
        <f t="shared" si="47"/>
        <v/>
      </c>
      <c r="BT87" s="586" t="str">
        <f t="shared" si="48"/>
        <v/>
      </c>
      <c r="BU87" s="585" t="str">
        <f t="shared" si="49"/>
        <v/>
      </c>
      <c r="BV87" s="669" t="str">
        <f t="shared" si="50"/>
        <v/>
      </c>
      <c r="BW87" s="581" t="s">
        <v>187</v>
      </c>
      <c r="BX87" s="581">
        <f>BU66</f>
        <v>0</v>
      </c>
    </row>
    <row r="88" spans="1:76" s="520" customFormat="1" ht="32.65" hidden="1" customHeight="1" x14ac:dyDescent="0.25">
      <c r="A88" s="575"/>
      <c r="B88" s="747" t="s">
        <v>104</v>
      </c>
      <c r="C88" s="583" t="s">
        <v>105</v>
      </c>
      <c r="D88" s="881" t="s">
        <v>106</v>
      </c>
      <c r="E88" s="583" t="str">
        <f t="shared" si="13"/>
        <v>Condition</v>
      </c>
      <c r="F88" s="282" t="s">
        <v>106</v>
      </c>
      <c r="G88" s="281"/>
      <c r="H88" s="882" t="s">
        <v>188</v>
      </c>
      <c r="I88" s="883">
        <v>0</v>
      </c>
      <c r="J88" s="280" t="str">
        <f>IF(F88="","",VLOOKUP(F88,'10. Condition and Temporal'!$B$6:$F$103,5,FALSE))</f>
        <v>Good</v>
      </c>
      <c r="K88" s="279"/>
      <c r="L88" s="884">
        <f>IFERROR(IF(D88="","",IF(AX88="Distinctiveness",(((((I88*AH88*AJ88)-(I88*V88*X88))*(AV88*AT88))+(I88*V88*X88))*(AP88))/10000,((((I88*AJ88*AH88)-(I88*V88*X88))*(AV88*AR88))+(I88*V88*X88))*AP88/10000)),"This intervention is not permitted within the SSM ▲")</f>
        <v>0</v>
      </c>
      <c r="M88" s="320">
        <f>L88-AD88</f>
        <v>0</v>
      </c>
      <c r="N88" s="314"/>
      <c r="O88" s="885"/>
      <c r="P88" s="529"/>
      <c r="R88" s="410"/>
      <c r="T88" s="655">
        <f t="shared" si="18"/>
        <v>0</v>
      </c>
      <c r="U88" s="656" t="str">
        <f t="shared" si="19"/>
        <v>Medium</v>
      </c>
      <c r="V88" s="829">
        <f t="shared" si="20"/>
        <v>4</v>
      </c>
      <c r="W88" s="656" t="str">
        <f t="shared" si="20"/>
        <v>Moderate</v>
      </c>
      <c r="X88" s="658">
        <f t="shared" si="20"/>
        <v>2</v>
      </c>
      <c r="Y88" s="828"/>
      <c r="Z88" s="828"/>
      <c r="AA88" s="828"/>
      <c r="AB88" s="658" t="str">
        <f t="shared" si="21"/>
        <v>Formally identified in local strategy</v>
      </c>
      <c r="AC88" s="658">
        <f t="shared" si="22"/>
        <v>1.1499999999999999</v>
      </c>
      <c r="AD88" s="657">
        <f>IF(AC88="","",(T88*V88*X88)*(AA88*AC88)/10000)</f>
        <v>0</v>
      </c>
      <c r="AE88" s="665" t="str">
        <f t="shared" si="24"/>
        <v>Acceptable</v>
      </c>
      <c r="AF88" s="655">
        <f t="shared" si="25"/>
        <v>0</v>
      </c>
      <c r="AG88" s="656" t="str">
        <f>IF(D88="","",VLOOKUP(F88,'9. All Habitats + Multipliers'!$C$4:$K$102,5,FALSE))</f>
        <v>Medium</v>
      </c>
      <c r="AH88" s="657">
        <f>IF(AG88="","",VLOOKUP(AG88,'11. Lists'!$B$47:$D$49,2,FALSE))</f>
        <v>4</v>
      </c>
      <c r="AI88" s="992" t="str">
        <f t="shared" si="26"/>
        <v>Good</v>
      </c>
      <c r="AJ88" s="981">
        <f>IF(AI88="","",VLOOKUP(AI88,'11. Lists'!$F$47:$G$51,2,FALSE))</f>
        <v>3</v>
      </c>
      <c r="AK88" s="844"/>
      <c r="AL88" s="844"/>
      <c r="AM88" s="844"/>
      <c r="AN88" s="987" t="str">
        <f t="shared" si="27"/>
        <v>Area/compensation not in local strategy/ no local strategy</v>
      </c>
      <c r="AO88" s="995" t="str">
        <f>IF(AN88="","",VLOOKUP(AN88,'11. Lists'!$F$36:$H$38,2,FALSE))</f>
        <v>Low Strategic Significance</v>
      </c>
      <c r="AP88" s="987">
        <f>IF(AN88="","",VLOOKUP(AN88,'11. Lists'!$F$36:$H$38,3,FALSE))</f>
        <v>1</v>
      </c>
      <c r="AQ88" s="656">
        <f>IF(D88="","",VLOOKUP(F88,'10. Condition and Temporal'!$B$6:$L$103,11,FALSE))</f>
        <v>16</v>
      </c>
      <c r="AR88" s="660">
        <f>IF(AQ88="","",VLOOKUP(AQ88,'11. Lists'!$I$47:$K$80,3,FALSE))</f>
        <v>0.56550573479999999</v>
      </c>
      <c r="AS88" s="1000" t="str">
        <f>IF(D88="","",VLOOKUP(F88,'10. Condition and Temporal'!$B$6:$M$106,12,FALSE))</f>
        <v>Not Possible</v>
      </c>
      <c r="AT88" s="604" t="str">
        <f>IF(AS88="","",IF(AS88="N/A","1",VLOOKUP(AS88,'11. Lists'!$I$47:$K$80,3,FALSE)))</f>
        <v>N/A</v>
      </c>
      <c r="AU88" s="659" t="str">
        <f>IF(D88="","",VLOOKUP(F88,'9. All Habitats + Multipliers'!$C$4:$K$102,8,FALSE))</f>
        <v>Low</v>
      </c>
      <c r="AV88" s="657">
        <f>IF(AU88="","",VLOOKUP(AU88,'11. Lists'!$J$35:$K$38,2,FALSE))</f>
        <v>1</v>
      </c>
      <c r="AW88" s="656" t="str">
        <f>IF(D88="","",VLOOKUP(D88,'10. Condition and Temporal'!$B$6:$M$103,4,FALSE))</f>
        <v>Urban/rural tree</v>
      </c>
      <c r="AX88" s="657" t="str">
        <f>IF(F88="","",IF(D88=F88,"Condition","Distinctivness"))</f>
        <v>Condition</v>
      </c>
      <c r="AY88" s="520" t="str">
        <f>C88</f>
        <v>Individual trees</v>
      </c>
    </row>
    <row r="89" spans="1:76" s="520" customFormat="1" ht="15" customHeight="1" x14ac:dyDescent="0.25">
      <c r="H89" s="661" t="s">
        <v>108</v>
      </c>
      <c r="I89" s="798">
        <f>SUMIFS(I68:I87,F68:F87,"&lt;&gt;"&amp;'11. Lists'!Q10,F68:F87,"&lt;&gt;"&amp;'11. Lists'!Q11,F68:F87,"&lt;&gt;"&amp;'11. Lists'!I4,F68:F87,"&lt;&gt;"&amp;'11. Lists'!I2,F68:F87,"&lt;&gt;"&amp;'11. Lists'!I3)</f>
        <v>209.71680000000001</v>
      </c>
      <c r="J89" s="698"/>
      <c r="K89" s="696"/>
      <c r="L89" s="764">
        <f>SUM(L68:L88)</f>
        <v>0.11325891152838931</v>
      </c>
      <c r="M89" s="316">
        <f>SUM(M68:N88)</f>
        <v>2.937219152838931E-2</v>
      </c>
      <c r="N89" s="314"/>
      <c r="R89" s="410"/>
    </row>
    <row r="90" spans="1:76" s="520" customFormat="1" x14ac:dyDescent="0.25">
      <c r="C90" s="521"/>
      <c r="R90" s="410"/>
    </row>
    <row r="91" spans="1:76" s="520" customFormat="1" ht="21" customHeight="1" x14ac:dyDescent="0.35">
      <c r="B91" s="543" t="s">
        <v>189</v>
      </c>
      <c r="R91" s="410"/>
    </row>
    <row r="92" spans="1:76" s="520" customFormat="1" ht="15" customHeight="1" x14ac:dyDescent="0.25">
      <c r="D92" s="574"/>
      <c r="R92" s="410"/>
    </row>
    <row r="93" spans="1:76" s="520" customFormat="1" ht="48" customHeight="1" x14ac:dyDescent="0.25">
      <c r="B93" s="390" t="s">
        <v>190</v>
      </c>
      <c r="C93" s="388"/>
      <c r="D93" s="278" t="s">
        <v>191</v>
      </c>
      <c r="E93" s="276" t="s">
        <v>192</v>
      </c>
      <c r="F93" s="275"/>
      <c r="G93" s="276" t="s">
        <v>193</v>
      </c>
      <c r="H93" s="388"/>
      <c r="I93" s="272" t="s">
        <v>194</v>
      </c>
      <c r="J93" s="271"/>
      <c r="K93" s="271"/>
      <c r="L93" s="271"/>
      <c r="M93" s="271"/>
      <c r="N93" s="271"/>
      <c r="O93" s="271"/>
      <c r="P93" s="270"/>
      <c r="R93" s="410"/>
    </row>
    <row r="94" spans="1:76" s="520" customFormat="1" ht="15.6" customHeight="1" x14ac:dyDescent="0.25">
      <c r="B94" s="387"/>
      <c r="C94" s="385"/>
      <c r="D94" s="277"/>
      <c r="E94" s="274"/>
      <c r="F94" s="273"/>
      <c r="G94" s="274"/>
      <c r="H94" s="385"/>
      <c r="I94" s="394" t="s">
        <v>195</v>
      </c>
      <c r="J94" s="342"/>
      <c r="K94" s="340"/>
      <c r="L94" s="338" t="s">
        <v>196</v>
      </c>
      <c r="M94" s="342"/>
      <c r="N94" s="340"/>
      <c r="O94" s="338" t="s">
        <v>197</v>
      </c>
      <c r="P94" s="337"/>
      <c r="R94" s="410"/>
    </row>
    <row r="95" spans="1:76" s="520" customFormat="1" ht="23.1" customHeight="1" x14ac:dyDescent="0.25">
      <c r="B95" s="269" t="s">
        <v>198</v>
      </c>
      <c r="C95" s="268"/>
      <c r="D95" s="641">
        <v>0</v>
      </c>
      <c r="E95" s="267">
        <v>0</v>
      </c>
      <c r="F95" s="266"/>
      <c r="G95" s="265">
        <v>7</v>
      </c>
      <c r="H95" s="264"/>
      <c r="I95" s="263">
        <f>D95*'11. Lists'!P47</f>
        <v>0</v>
      </c>
      <c r="J95" s="262"/>
      <c r="K95" s="261"/>
      <c r="L95" s="260">
        <f>IF(E95&gt;D95, "Error ▲", E95*'11. Lists'!P47)</f>
        <v>0</v>
      </c>
      <c r="M95" s="262"/>
      <c r="N95" s="261"/>
      <c r="O95" s="260">
        <f>G95*'11. Lists'!P47</f>
        <v>284.86079999999998</v>
      </c>
      <c r="P95" s="259"/>
      <c r="R95" s="410"/>
    </row>
    <row r="96" spans="1:76" s="520" customFormat="1" ht="24.6" customHeight="1" x14ac:dyDescent="0.25">
      <c r="B96" s="258" t="s">
        <v>199</v>
      </c>
      <c r="C96" s="257"/>
      <c r="D96" s="693">
        <v>0</v>
      </c>
      <c r="E96" s="256">
        <v>0</v>
      </c>
      <c r="F96" s="255"/>
      <c r="G96" s="254">
        <v>0</v>
      </c>
      <c r="H96" s="253"/>
      <c r="I96" s="252">
        <f>D96*'11. Lists'!P48</f>
        <v>0</v>
      </c>
      <c r="J96" s="251"/>
      <c r="K96" s="250"/>
      <c r="L96" s="249">
        <f>IF(E96&gt;D96,"Error ▲",(E96*'11. Lists'!P48))</f>
        <v>0</v>
      </c>
      <c r="M96" s="251"/>
      <c r="N96" s="250"/>
      <c r="O96" s="249">
        <f>G96*'11. Lists'!P48</f>
        <v>0</v>
      </c>
      <c r="P96" s="248"/>
      <c r="R96" s="410"/>
    </row>
    <row r="97" spans="1:18" s="520" customFormat="1" ht="24.6" customHeight="1" x14ac:dyDescent="0.25">
      <c r="B97" s="258" t="s">
        <v>200</v>
      </c>
      <c r="C97" s="257"/>
      <c r="D97" s="693">
        <v>0</v>
      </c>
      <c r="E97" s="256">
        <v>0</v>
      </c>
      <c r="F97" s="255"/>
      <c r="G97" s="254">
        <v>0</v>
      </c>
      <c r="H97" s="253"/>
      <c r="I97" s="252">
        <f>D97*'11. Lists'!P49</f>
        <v>0</v>
      </c>
      <c r="J97" s="251"/>
      <c r="K97" s="250"/>
      <c r="L97" s="249">
        <f>IF(E97&gt;D97,"Error ▲",(E97*'11. Lists'!P49))</f>
        <v>0</v>
      </c>
      <c r="M97" s="251"/>
      <c r="N97" s="250"/>
      <c r="O97" s="249">
        <f>G97*'11. Lists'!P49</f>
        <v>0</v>
      </c>
      <c r="P97" s="248"/>
      <c r="R97" s="410"/>
    </row>
    <row r="98" spans="1:18" s="520" customFormat="1" ht="24.6" customHeight="1" x14ac:dyDescent="0.25">
      <c r="B98" s="258" t="s">
        <v>201</v>
      </c>
      <c r="C98" s="257"/>
      <c r="D98" s="693">
        <v>0</v>
      </c>
      <c r="E98" s="256">
        <v>0</v>
      </c>
      <c r="F98" s="255"/>
      <c r="G98" s="254">
        <v>0</v>
      </c>
      <c r="H98" s="253"/>
      <c r="I98" s="252">
        <f>D98*'11. Lists'!P50</f>
        <v>0</v>
      </c>
      <c r="J98" s="251"/>
      <c r="K98" s="250"/>
      <c r="L98" s="249">
        <f>IF(E98&gt;D98,"Error ▲",(E98*'11. Lists'!P50))</f>
        <v>0</v>
      </c>
      <c r="M98" s="251"/>
      <c r="N98" s="250"/>
      <c r="O98" s="249">
        <f>G98*'11. Lists'!P50</f>
        <v>0</v>
      </c>
      <c r="P98" s="248"/>
      <c r="R98" s="410"/>
    </row>
    <row r="99" spans="1:18" s="520" customFormat="1" ht="24.6" customHeight="1" x14ac:dyDescent="0.25">
      <c r="B99" s="413" t="s">
        <v>202</v>
      </c>
      <c r="C99" s="247"/>
      <c r="D99" s="765">
        <f>SUM(D95:D98)</f>
        <v>0</v>
      </c>
      <c r="E99" s="246">
        <f>SUM(E95:F98)</f>
        <v>0</v>
      </c>
      <c r="F99" s="245"/>
      <c r="G99" s="246">
        <f>SUM(G95:H98)</f>
        <v>7</v>
      </c>
      <c r="H99" s="244"/>
      <c r="I99" s="245">
        <f>SUM(I95:K98)</f>
        <v>0</v>
      </c>
      <c r="J99" s="243"/>
      <c r="K99" s="243"/>
      <c r="L99" s="243">
        <f>SUM(L95:N98)</f>
        <v>0</v>
      </c>
      <c r="M99" s="243"/>
      <c r="N99" s="243"/>
      <c r="O99" s="246">
        <f>SUM(O95:P98)</f>
        <v>284.86079999999998</v>
      </c>
      <c r="P99" s="244"/>
      <c r="R99" s="410"/>
    </row>
    <row r="100" spans="1:18" s="520" customFormat="1" ht="19.149999999999999" customHeight="1" x14ac:dyDescent="0.25">
      <c r="E100" s="242" t="str">
        <f>IFERROR(IF(OR(E95&gt;D95, E96&gt;D96, E97&gt;D97, E98&gt;D98), "Error - trees retained and lost is greater than number of pre-development trees ▲", ""), "Error  ▲")</f>
        <v/>
      </c>
      <c r="F100" s="242"/>
      <c r="G100" s="242"/>
      <c r="R100" s="410"/>
    </row>
    <row r="101" spans="1:18" s="520" customFormat="1" x14ac:dyDescent="0.25">
      <c r="R101" s="410"/>
    </row>
    <row r="102" spans="1:18" s="520" customFormat="1" x14ac:dyDescent="0.25">
      <c r="A102" s="241" t="s">
        <v>203</v>
      </c>
      <c r="B102" s="241"/>
      <c r="C102" s="241"/>
      <c r="D102" s="241"/>
      <c r="E102" s="241"/>
      <c r="F102" s="241"/>
      <c r="G102" s="241"/>
      <c r="H102" s="241"/>
      <c r="I102" s="241"/>
      <c r="J102" s="241"/>
      <c r="K102" s="241"/>
      <c r="L102" s="241"/>
      <c r="M102" s="241"/>
      <c r="N102" s="241"/>
      <c r="O102" s="241"/>
      <c r="P102" s="241"/>
      <c r="Q102" s="241"/>
      <c r="R102" s="410"/>
    </row>
    <row r="103" spans="1:18" s="520" customFormat="1" x14ac:dyDescent="0.25">
      <c r="A103" s="241"/>
      <c r="B103" s="241"/>
      <c r="C103" s="241"/>
      <c r="D103" s="241"/>
      <c r="E103" s="241"/>
      <c r="F103" s="241"/>
      <c r="G103" s="241"/>
      <c r="H103" s="241"/>
      <c r="I103" s="241"/>
      <c r="J103" s="241"/>
      <c r="K103" s="241"/>
      <c r="L103" s="241"/>
      <c r="M103" s="241"/>
      <c r="N103" s="241"/>
      <c r="O103" s="241"/>
      <c r="P103" s="241"/>
      <c r="Q103" s="241"/>
      <c r="R103" s="410"/>
    </row>
    <row r="104" spans="1:18" s="520" customFormat="1" x14ac:dyDescent="0.25">
      <c r="A104" s="241"/>
      <c r="B104" s="241"/>
      <c r="C104" s="241"/>
      <c r="D104" s="241"/>
      <c r="E104" s="241"/>
      <c r="F104" s="241"/>
      <c r="G104" s="241"/>
      <c r="H104" s="241"/>
      <c r="I104" s="241"/>
      <c r="J104" s="241"/>
      <c r="K104" s="241"/>
      <c r="L104" s="241"/>
      <c r="M104" s="241"/>
      <c r="N104" s="241"/>
      <c r="O104" s="241"/>
      <c r="P104" s="241"/>
      <c r="Q104" s="241"/>
      <c r="R104" s="410"/>
    </row>
    <row r="105" spans="1:18" s="520" customFormat="1" x14ac:dyDescent="0.25">
      <c r="R105" s="410"/>
    </row>
    <row r="106" spans="1:18" s="520" customFormat="1" ht="21" customHeight="1" x14ac:dyDescent="0.35">
      <c r="B106" s="543" t="s">
        <v>204</v>
      </c>
      <c r="D106" s="521"/>
      <c r="E106" s="521"/>
      <c r="F106" s="521"/>
      <c r="G106" s="521"/>
      <c r="R106" s="410"/>
    </row>
    <row r="107" spans="1:18" s="520" customFormat="1" ht="15" customHeight="1" x14ac:dyDescent="0.25">
      <c r="R107" s="410"/>
    </row>
    <row r="108" spans="1:18" s="520" customFormat="1" ht="36.6" customHeight="1" x14ac:dyDescent="0.25">
      <c r="B108" s="240" t="s">
        <v>205</v>
      </c>
      <c r="C108" s="239"/>
      <c r="D108" s="238"/>
      <c r="E108" s="237" t="str">
        <f>IF(SUM(J114:J135)&gt;0,"Error - Trading Rules Not Satisfied - Insufficient Units Created Within Habitat Groups ▲", "Trading Rules Satisfied ✓")</f>
        <v>Trading Rules Satisfied ✓</v>
      </c>
      <c r="F108" s="237"/>
      <c r="G108" s="237"/>
      <c r="H108" s="237"/>
      <c r="I108" s="236"/>
      <c r="J108" s="643">
        <f>IFERROR(FIND("Error",E108),0)</f>
        <v>0</v>
      </c>
      <c r="R108" s="410"/>
    </row>
    <row r="109" spans="1:18" s="520" customFormat="1" ht="36" customHeight="1" x14ac:dyDescent="0.25">
      <c r="B109" s="235" t="s">
        <v>206</v>
      </c>
      <c r="C109" s="234"/>
      <c r="D109" s="233"/>
      <c r="E109" s="232" t="str">
        <f>IF(SUM(J138:J140)&gt;0,"Error - Trading Rules Not Satisfied - Insufficient Biodiversity Units Created ▲","Trading Rules Satisfied ✓")</f>
        <v>Trading Rules Satisfied ✓</v>
      </c>
      <c r="F109" s="232"/>
      <c r="G109" s="232"/>
      <c r="H109" s="232"/>
      <c r="I109" s="231"/>
      <c r="J109" s="643">
        <f>IFERROR(FIND("Error",E109),0)</f>
        <v>0</v>
      </c>
      <c r="R109" s="410"/>
    </row>
    <row r="110" spans="1:18" s="520" customFormat="1" x14ac:dyDescent="0.25">
      <c r="R110" s="410"/>
    </row>
    <row r="111" spans="1:18" s="520" customFormat="1" ht="21" customHeight="1" x14ac:dyDescent="0.35">
      <c r="B111" s="543" t="s">
        <v>207</v>
      </c>
      <c r="R111" s="410"/>
    </row>
    <row r="112" spans="1:18" s="520" customFormat="1" ht="15" customHeight="1" x14ac:dyDescent="0.25">
      <c r="R112" s="410"/>
    </row>
    <row r="113" spans="2:18" s="520" customFormat="1" ht="36.6" customHeight="1" x14ac:dyDescent="0.25">
      <c r="B113" s="230" t="s">
        <v>208</v>
      </c>
      <c r="C113" s="229"/>
      <c r="D113" s="229"/>
      <c r="E113" s="692" t="s">
        <v>209</v>
      </c>
      <c r="F113" s="692" t="s">
        <v>210</v>
      </c>
      <c r="G113" s="692" t="s">
        <v>211</v>
      </c>
      <c r="H113" s="692" t="s">
        <v>212</v>
      </c>
      <c r="I113" s="606" t="s">
        <v>213</v>
      </c>
      <c r="J113" s="908"/>
      <c r="R113" s="410"/>
    </row>
    <row r="114" spans="2:18" s="520" customFormat="1" ht="15.6" customHeight="1" x14ac:dyDescent="0.25">
      <c r="B114" s="228" t="s">
        <v>214</v>
      </c>
      <c r="C114" s="227"/>
      <c r="D114" s="226"/>
      <c r="E114" s="607" t="s">
        <v>215</v>
      </c>
      <c r="F114" s="608">
        <f>SUMIFS($L$11:$L$30,$C$11:$C$30,$B114,$T$11:$T$30,$E114)</f>
        <v>0</v>
      </c>
      <c r="G114" s="608">
        <f>SUMIFS($L$40:$L$59,$C$40:$C$59,$B114,$T$40:$T$59,$E114)+SUMIFS($L$68:$L$87,AY68:AY87,B114,$AG$68:$AG$87,E114)+SUMIFS($AE$11:$AE$31,$C$11:$C$31,B114,$T$11:$T$31,E114)</f>
        <v>0</v>
      </c>
      <c r="H114" s="608">
        <f t="shared" ref="H114:H135" si="51">G114-F114</f>
        <v>0</v>
      </c>
      <c r="I114" s="609" t="s">
        <v>216</v>
      </c>
      <c r="J114" s="643"/>
      <c r="R114" s="410"/>
    </row>
    <row r="115" spans="2:18" s="520" customFormat="1" ht="15.6" customHeight="1" x14ac:dyDescent="0.25">
      <c r="B115" s="225"/>
      <c r="C115" s="224"/>
      <c r="D115" s="223"/>
      <c r="E115" s="610" t="s">
        <v>217</v>
      </c>
      <c r="F115" s="608">
        <f>SUMIFS($L$11:$L$30,$C$11:$C$30,$B114,$T$11:$T$30,$E115)</f>
        <v>0</v>
      </c>
      <c r="G115" s="608">
        <f>SUMIFS($L$40:$L$59,$C$40:$C$59,$B114,$T$40:$T$59,$E115)+SUMIFS($L$68:$L$87,AY68:AY87,B114,$AG$68:$AG$87,E115)+SUMIFS($AE$11:$AE$31,$C$11:$C$31,B114,$T$11:$T$31,E115)</f>
        <v>0</v>
      </c>
      <c r="H115" s="608">
        <f t="shared" si="51"/>
        <v>0</v>
      </c>
      <c r="I115" s="611" t="str">
        <f>IF(F115=0,"N/A",IF(H115&lt;0,"No ▲","Yes ✓"))</f>
        <v>N/A</v>
      </c>
      <c r="J115" s="643">
        <f>IF(I115="No ▲",1,0)</f>
        <v>0</v>
      </c>
      <c r="R115" s="410"/>
    </row>
    <row r="116" spans="2:18" s="520" customFormat="1" ht="15.6" customHeight="1" x14ac:dyDescent="0.25">
      <c r="B116" s="228" t="s">
        <v>218</v>
      </c>
      <c r="C116" s="227"/>
      <c r="D116" s="226"/>
      <c r="E116" s="607" t="s">
        <v>215</v>
      </c>
      <c r="F116" s="608">
        <f>SUMIFS($L$11:$L$30,$C$11:$C$30,$B116,$T$11:$T$30,$E116)</f>
        <v>0.18197216000000002</v>
      </c>
      <c r="G116" s="608">
        <f>SUMIFS($L$40:$L$59,$C$40:$C$59,$B116,$T$40:$T$59,$E116)+SUMIFS($L$68:$L$87,AY68:AY87,B116,$AG$68:$AG$87,E116)+SUMIFS($AE$11:$AE$31,$C$11:$C$31,B116,$T$11:$T$31,E116)</f>
        <v>0.11325891152838931</v>
      </c>
      <c r="H116" s="608">
        <f t="shared" si="51"/>
        <v>-6.8713248471610713E-2</v>
      </c>
      <c r="I116" s="609" t="s">
        <v>216</v>
      </c>
      <c r="J116" s="643"/>
      <c r="R116" s="410"/>
    </row>
    <row r="117" spans="2:18" s="520" customFormat="1" ht="15.6" customHeight="1" x14ac:dyDescent="0.25">
      <c r="B117" s="225"/>
      <c r="C117" s="224"/>
      <c r="D117" s="223"/>
      <c r="E117" s="610" t="s">
        <v>217</v>
      </c>
      <c r="F117" s="608">
        <f>SUMIFS($L$11:$L$30,$C$11:$C$30,$B116,$T$11:$T$30,$E117)</f>
        <v>0</v>
      </c>
      <c r="G117" s="608">
        <f>SUMIFS($L$40:$L$59,$C$40:$C$59,$B116,$T$40:$T$59,$E117)+SUMIFS($L$68:$L$87,AY68:AY87,B116,$AG$68:$AG$87,E117)+SUMIFS($AE$11:$AE$31,$C$11:$C$31,B116,$T$11:$T$31,E117)</f>
        <v>0</v>
      </c>
      <c r="H117" s="608">
        <f t="shared" si="51"/>
        <v>0</v>
      </c>
      <c r="I117" s="611" t="str">
        <f>IF(F117=0,"N/A",IF(H117&lt;0,"No ▲","Yes ✓"))</f>
        <v>N/A</v>
      </c>
      <c r="J117" s="643">
        <f>IF(I117="No ▲",1,0)</f>
        <v>0</v>
      </c>
      <c r="R117" s="410"/>
    </row>
    <row r="118" spans="2:18" s="520" customFormat="1" ht="15.6" customHeight="1" x14ac:dyDescent="0.25">
      <c r="B118" s="228" t="s">
        <v>219</v>
      </c>
      <c r="C118" s="227"/>
      <c r="D118" s="226"/>
      <c r="E118" s="607" t="s">
        <v>215</v>
      </c>
      <c r="F118" s="608">
        <f>SUMIFS($L$11:$L$30,$C$11:$C$30,$B118,$T$11:$T$30,$E118)</f>
        <v>0</v>
      </c>
      <c r="G118" s="608">
        <f>SUMIFS($L$40:$L$59,$C$40:$C$59,$B118,$T$40:$T$59,$E118)+SUMIFS($L$68:$L$87,$C$68:$C$87,B118,$AG$68:$AG$87,E118)+SUMIFS($AE$11:$AE$31,$C$11:$C$31,B118,$T$11:$T$31,E118)</f>
        <v>0</v>
      </c>
      <c r="H118" s="608">
        <f t="shared" si="51"/>
        <v>0</v>
      </c>
      <c r="I118" s="609" t="s">
        <v>216</v>
      </c>
      <c r="J118" s="643"/>
      <c r="R118" s="410"/>
    </row>
    <row r="119" spans="2:18" s="520" customFormat="1" ht="15.6" customHeight="1" x14ac:dyDescent="0.25">
      <c r="B119" s="225"/>
      <c r="C119" s="224"/>
      <c r="D119" s="223"/>
      <c r="E119" s="610" t="s">
        <v>217</v>
      </c>
      <c r="F119" s="608">
        <f>SUMIFS($L$11:$L$30,$C$11:$C$30,$B118,$T$11:$T$30,$E119)</f>
        <v>0</v>
      </c>
      <c r="G119" s="608">
        <f>SUMIFS($L$40:$L$59,$C$40:$C$59,$B118,$T$40:$T$59,$E119)+SUMIFS($L$68:$L$87,$C$68:$C$87,B118,$AG$68:$AG$87,E119)+SUMIFS($AE$11:$AE$31,$C$11:$C$31,B118,$T$11:$T$31,E119)</f>
        <v>0</v>
      </c>
      <c r="H119" s="608">
        <f t="shared" si="51"/>
        <v>0</v>
      </c>
      <c r="I119" s="611" t="str">
        <f>IF(F119=0,"N/A",IF(H119&lt;0,"No ▲","Yes ✓"))</f>
        <v>N/A</v>
      </c>
      <c r="J119" s="643">
        <f>IF(I119="No ▲",1,0)</f>
        <v>0</v>
      </c>
      <c r="R119" s="410"/>
    </row>
    <row r="120" spans="2:18" s="520" customFormat="1" ht="15.6" customHeight="1" x14ac:dyDescent="0.25">
      <c r="B120" s="228" t="s">
        <v>220</v>
      </c>
      <c r="C120" s="227"/>
      <c r="D120" s="226"/>
      <c r="E120" s="607" t="s">
        <v>215</v>
      </c>
      <c r="F120" s="608">
        <f>SUMIFS($L$11:$L$30,$C$11:$C$30,$B120,$T$11:$T$30,$E120)</f>
        <v>0</v>
      </c>
      <c r="G120" s="608">
        <f>SUMIFS($L$40:$L$59,$C$40:$C$59,$B120,$T$40:$T$59,$E120)+SUMIFS($L$68:$L$87,$C$68:$C$87,B120,$AG$68:$AG$87,E120)+SUMIFS($AE$11:$AE$31,$C$11:$C$31,B120,$T$11:$T$31,E120)</f>
        <v>0</v>
      </c>
      <c r="H120" s="608">
        <f t="shared" si="51"/>
        <v>0</v>
      </c>
      <c r="I120" s="609" t="s">
        <v>216</v>
      </c>
      <c r="J120" s="643"/>
      <c r="R120" s="410"/>
    </row>
    <row r="121" spans="2:18" s="520" customFormat="1" ht="15.6" customHeight="1" x14ac:dyDescent="0.25">
      <c r="B121" s="225"/>
      <c r="C121" s="224"/>
      <c r="D121" s="223"/>
      <c r="E121" s="610" t="s">
        <v>217</v>
      </c>
      <c r="F121" s="608">
        <f>SUMIFS($L$11:$L$30,$C$11:$C$30,$B120,$T$11:$T$30,$E121)</f>
        <v>0</v>
      </c>
      <c r="G121" s="608">
        <f>SUMIFS($L$40:$L$59,$C$40:$C$59,$B120,$T$40:$T$59,$E121)+SUMIFS($L$68:$L$87,$C$68:$C$87,B120,$AG$68:$AG$87,E121)+SUMIFS($AE$11:$AE$31,$C$11:$C$31,B120,$T$11:$T$31,E121)</f>
        <v>0</v>
      </c>
      <c r="H121" s="608">
        <f t="shared" si="51"/>
        <v>0</v>
      </c>
      <c r="I121" s="611" t="str">
        <f>IF(F121=0,"N/A",IF(H121&lt;0,"No ▲","Yes ✓"))</f>
        <v>N/A</v>
      </c>
      <c r="J121" s="643">
        <f>IF(I121="No ▲",1,0)</f>
        <v>0</v>
      </c>
      <c r="R121" s="410"/>
    </row>
    <row r="122" spans="2:18" s="520" customFormat="1" ht="15.6" customHeight="1" x14ac:dyDescent="0.25">
      <c r="B122" s="228" t="s">
        <v>221</v>
      </c>
      <c r="C122" s="227"/>
      <c r="D122" s="226"/>
      <c r="E122" s="607" t="s">
        <v>215</v>
      </c>
      <c r="F122" s="608">
        <f>SUMIFS($L$11:$L$30,$C$11:$C$30,$B122,$T$11:$T$30,$E122)</f>
        <v>0</v>
      </c>
      <c r="G122" s="608">
        <f>SUMIFS($L$40:$L$59,$C$40:$C$59,$B122,$T$40:$T$59,$E122)+SUMIFS($L$68:$L$87,$C$68:$C$87,B122,$AG$68:$AG$87,E122)+SUMIFS($AE$11:$AE$31,$C$11:$C$31,B122,$T$11:$T$31,E122)</f>
        <v>0</v>
      </c>
      <c r="H122" s="608">
        <f t="shared" si="51"/>
        <v>0</v>
      </c>
      <c r="I122" s="609" t="s">
        <v>216</v>
      </c>
      <c r="J122" s="643"/>
      <c r="R122" s="410"/>
    </row>
    <row r="123" spans="2:18" s="520" customFormat="1" ht="15.6" customHeight="1" x14ac:dyDescent="0.25">
      <c r="B123" s="225"/>
      <c r="C123" s="224"/>
      <c r="D123" s="223"/>
      <c r="E123" s="610" t="s">
        <v>217</v>
      </c>
      <c r="F123" s="608">
        <f>SUMIFS($L$11:$L$30,$C$11:$C$30,$B122,$T$11:$T$30,$E123)</f>
        <v>0</v>
      </c>
      <c r="G123" s="608">
        <f>SUMIFS($L$40:$L$59,$C$40:$C$59,$B$122,$T$40:$T$59,$E$123)+SUMIFS($L$68:$L$87,$C$68:$C$87,$B$122,$AG$68:$AG$87,$E$123)+SUMIFS($AE$11:$AE$31,$C$11:$C$31,$B$122,$T$11:$T$31,$E$123)</f>
        <v>0</v>
      </c>
      <c r="H123" s="608">
        <f t="shared" si="51"/>
        <v>0</v>
      </c>
      <c r="I123" s="611" t="str">
        <f>IF(F123=0,"N/A",IF(H123&lt;0,"No ▲","Yes ✓"))</f>
        <v>N/A</v>
      </c>
      <c r="J123" s="643">
        <f>IF(I123="No ▲",1,0)</f>
        <v>0</v>
      </c>
      <c r="R123" s="410"/>
    </row>
    <row r="124" spans="2:18" s="520" customFormat="1" ht="15.6" customHeight="1" x14ac:dyDescent="0.25">
      <c r="B124" s="228" t="s">
        <v>222</v>
      </c>
      <c r="C124" s="227"/>
      <c r="D124" s="226"/>
      <c r="E124" s="607" t="s">
        <v>215</v>
      </c>
      <c r="F124" s="608">
        <f>SUMIFS($L$11:$L$30,$C$11:$C$30,$B124,$T$11:$T$30,$E124)</f>
        <v>0</v>
      </c>
      <c r="G124" s="608">
        <f>SUMIFS($L$40:$L$59,$C$40:$C$59,$B124,$T$40:$T$59,$E124)+SUMIFS($L$68:$L$87,$C$68:$C$87,B124,$AG$68:$AG$87,E124)+SUMIFS($AE$11:$AE$31,$C$11:$C$31,B124,$T$11:$T$31,E124)</f>
        <v>0</v>
      </c>
      <c r="H124" s="608">
        <f t="shared" si="51"/>
        <v>0</v>
      </c>
      <c r="I124" s="609" t="s">
        <v>216</v>
      </c>
      <c r="J124" s="643"/>
      <c r="R124" s="410"/>
    </row>
    <row r="125" spans="2:18" s="520" customFormat="1" ht="15.6" customHeight="1" x14ac:dyDescent="0.25">
      <c r="B125" s="225"/>
      <c r="C125" s="224"/>
      <c r="D125" s="223"/>
      <c r="E125" s="610" t="s">
        <v>217</v>
      </c>
      <c r="F125" s="608">
        <f>SUMIFS($L$11:$L$30,$C$11:$C$30,$B124,$T$11:$T$30,$E125)</f>
        <v>0</v>
      </c>
      <c r="G125" s="608">
        <f>SUMIFS($L$40:$L$59,$C$40:$C$59,$B$124,$T$40:$T$59,$E125)+SUMIFS($L$68:$L$87,$C$68:$C$87,B124,$AG$68:$AG$87,E125)+SUMIFS($AE$11:$AE$31,$C$11:$C$31,$B$124,$T$11:$T$31,$E$125)</f>
        <v>0</v>
      </c>
      <c r="H125" s="608">
        <f t="shared" si="51"/>
        <v>0</v>
      </c>
      <c r="I125" s="611" t="str">
        <f>IF(F125=0,"N/A",IF(H125&lt;0,"No ▲","Yes ✓"))</f>
        <v>N/A</v>
      </c>
      <c r="J125" s="643">
        <f>IF(I125="No ▲",1,0)</f>
        <v>0</v>
      </c>
      <c r="R125" s="410"/>
    </row>
    <row r="126" spans="2:18" s="520" customFormat="1" ht="15.6" customHeight="1" x14ac:dyDescent="0.25">
      <c r="B126" s="228" t="s">
        <v>223</v>
      </c>
      <c r="C126" s="227"/>
      <c r="D126" s="226"/>
      <c r="E126" s="607" t="s">
        <v>215</v>
      </c>
      <c r="F126" s="608">
        <f>SUMIFS($L$11:$L$30,$C$11:$C$30,$B126,$T$11:$T$30,$E126)</f>
        <v>0</v>
      </c>
      <c r="G126" s="608">
        <f>SUMIFS($L$40:$L$59,$C$40:$C$59,$B126,$T$40:$T$59,$E126)+SUMIFS($L$68:$L$87,AY68:AY87,B126,$AG$68:$AG$87,E126)+SUMIFS($AE$11:$AE$31,$C$11:$C$31,B126,$T$11:$T$31,E126)</f>
        <v>0</v>
      </c>
      <c r="H126" s="608">
        <f t="shared" si="51"/>
        <v>0</v>
      </c>
      <c r="I126" s="609" t="s">
        <v>216</v>
      </c>
      <c r="J126" s="643"/>
      <c r="R126" s="410"/>
    </row>
    <row r="127" spans="2:18" s="520" customFormat="1" ht="15.6" customHeight="1" x14ac:dyDescent="0.25">
      <c r="B127" s="225"/>
      <c r="C127" s="224"/>
      <c r="D127" s="223"/>
      <c r="E127" s="610" t="s">
        <v>217</v>
      </c>
      <c r="F127" s="608">
        <f>SUMIFS($L$11:$L$30,$C$11:$C$30,$B126,$T$11:$T$30,$E127)</f>
        <v>0</v>
      </c>
      <c r="G127" s="608">
        <f>SUMIFS($L$40:$L$59,$C$40:$C$59,$B126,$T$40:$T$59,$E127)+SUMIFS($L$68:$L$87,AY68:AY87,B126,$AG$68:$AG$87,E127)+SUMIFS($AE$11:$AE$31,$C$11:$C$31,B126,$T$11:$T$31,E127)</f>
        <v>0</v>
      </c>
      <c r="H127" s="608">
        <f t="shared" si="51"/>
        <v>0</v>
      </c>
      <c r="I127" s="611" t="str">
        <f>IF(F127=0,"N/A",IF(H127&lt;0,"No ▲","Yes ✓"))</f>
        <v>N/A</v>
      </c>
      <c r="J127" s="643">
        <f>IF(I127="No ▲",1,0)</f>
        <v>0</v>
      </c>
      <c r="R127" s="410"/>
    </row>
    <row r="128" spans="2:18" s="520" customFormat="1" ht="15.6" customHeight="1" x14ac:dyDescent="0.25">
      <c r="B128" s="228" t="s">
        <v>224</v>
      </c>
      <c r="C128" s="227"/>
      <c r="D128" s="226"/>
      <c r="E128" s="607" t="s">
        <v>215</v>
      </c>
      <c r="F128" s="608">
        <f>SUMIFS($L$11:$L$30,$C$11:$C$30,$B128,$T$11:$T$30,$E128)</f>
        <v>0</v>
      </c>
      <c r="G128" s="608">
        <f>SUMIFS($L$40:$L$59,$C$40:$C$59,$B128,$T$40:$T$59,$E128)+SUMIFS($L$68:$L$87,AY68:AY87,B128,$AG$68:$AG$87,E128)+SUMIFS($AE$11:$AE$31,$C$11:$C$31,B128,$T$11:$T$31,E128)</f>
        <v>0</v>
      </c>
      <c r="H128" s="608">
        <f t="shared" si="51"/>
        <v>0</v>
      </c>
      <c r="I128" s="609" t="s">
        <v>216</v>
      </c>
      <c r="J128" s="643"/>
      <c r="R128" s="410"/>
    </row>
    <row r="129" spans="2:18" s="520" customFormat="1" ht="15.6" customHeight="1" x14ac:dyDescent="0.25">
      <c r="B129" s="225"/>
      <c r="C129" s="224"/>
      <c r="D129" s="223"/>
      <c r="E129" s="610" t="s">
        <v>217</v>
      </c>
      <c r="F129" s="608">
        <f>SUMIFS($L$11:$L$30,$C$11:$C$30,$B128,$T$11:$T$30,$E129)</f>
        <v>0</v>
      </c>
      <c r="G129" s="608">
        <f>SUMIFS($L$40:$L$59,$C$40:$C$59,$B128,$T$40:$T$59,$E129)+SUMIFS($L$68:$L$87,AY68:AY87,B128,$AG$68:$AG$87,E129)+SUMIFS($AE$11:$AE$31,$C$11:$C$31,B128,$T$11:$T$31,E129)</f>
        <v>0</v>
      </c>
      <c r="H129" s="608">
        <f t="shared" si="51"/>
        <v>0</v>
      </c>
      <c r="I129" s="611" t="str">
        <f>IF(F129=0,"N/A",IF(H129&lt;0,"No ▲","Yes ✓"))</f>
        <v>N/A</v>
      </c>
      <c r="J129" s="643">
        <f>IF(I129="No ▲",1,0)</f>
        <v>0</v>
      </c>
      <c r="R129" s="410"/>
    </row>
    <row r="130" spans="2:18" s="520" customFormat="1" ht="15.6" customHeight="1" x14ac:dyDescent="0.25">
      <c r="B130" s="228" t="s">
        <v>225</v>
      </c>
      <c r="C130" s="227"/>
      <c r="D130" s="226"/>
      <c r="E130" s="607" t="s">
        <v>215</v>
      </c>
      <c r="F130" s="608">
        <f>SUMIFS($L$11:$L$30,$C$11:$C$30,$B130,$T$11:$T$30,$E130)</f>
        <v>0</v>
      </c>
      <c r="G130" s="608">
        <f>SUMIFS($L$40:$L$59,$C$40:$C$59,$B130,$T$40:$T$59,$E130)+SUMIFS($L$68:$L$87,$C$68:$C$87,B130,$AG$68:$AG$87,E130)+SUMIFS($AE$11:$AE$31,$C$11:$C$31,B130,$T$11:$T$31,E130)</f>
        <v>0</v>
      </c>
      <c r="H130" s="608">
        <f t="shared" si="51"/>
        <v>0</v>
      </c>
      <c r="I130" s="609" t="s">
        <v>216</v>
      </c>
      <c r="J130" s="643"/>
      <c r="R130" s="410"/>
    </row>
    <row r="131" spans="2:18" s="520" customFormat="1" ht="15.6" customHeight="1" x14ac:dyDescent="0.25">
      <c r="B131" s="225"/>
      <c r="C131" s="224"/>
      <c r="D131" s="223"/>
      <c r="E131" s="610" t="s">
        <v>217</v>
      </c>
      <c r="F131" s="608">
        <f>SUMIFS($L$11:$L$30,$C$11:$C$30,$B130,$T$11:$T$30,$E131)</f>
        <v>0</v>
      </c>
      <c r="G131" s="608">
        <f>SUMIFS($L$40:$L$59,$C$40:$C$59,$B130,$T$40:$T$59,$E131)+SUMIFS($L$68:$L$87,$C$68:$C$87,B130,$AG$68:$AG$87,E131)+SUMIFS($AE$11:$AE$31,$C$11:$C$31,B130,$T$11:$T$31,E131)</f>
        <v>0</v>
      </c>
      <c r="H131" s="608">
        <f t="shared" si="51"/>
        <v>0</v>
      </c>
      <c r="I131" s="611" t="str">
        <f>IF(F131=0,"N/A",IF(H131&lt;0,"No ▲","Yes ✓"))</f>
        <v>N/A</v>
      </c>
      <c r="J131" s="643">
        <f>IF(I131="No ▲",1,0)</f>
        <v>0</v>
      </c>
      <c r="R131" s="410"/>
    </row>
    <row r="132" spans="2:18" s="520" customFormat="1" ht="15.6" customHeight="1" x14ac:dyDescent="0.25">
      <c r="B132" s="228" t="s">
        <v>226</v>
      </c>
      <c r="C132" s="227"/>
      <c r="D132" s="227"/>
      <c r="E132" s="607" t="s">
        <v>215</v>
      </c>
      <c r="F132" s="608">
        <f>SUMIFS($L$11:$L$30,$C$11:$C$30,$B132,$T$11:$T$30,$E132)</f>
        <v>0</v>
      </c>
      <c r="G132" s="608">
        <f>SUMIFS($L$40:$L$59,$C$40:$C$59,$B132,$T$40:$T$59,$E132)+SUMIFS($L$68:$L$87,$C$68:$C$87,B132,$AG$68:$AG$87,E132)+SUMIFS($AE$11:$AE$31,$C$11:$C$31,B132,$T$11:$T$31,E132)</f>
        <v>0</v>
      </c>
      <c r="H132" s="608">
        <f t="shared" si="51"/>
        <v>0</v>
      </c>
      <c r="I132" s="609" t="s">
        <v>216</v>
      </c>
      <c r="J132" s="643"/>
      <c r="R132" s="410"/>
    </row>
    <row r="133" spans="2:18" s="520" customFormat="1" ht="15.6" customHeight="1" x14ac:dyDescent="0.25">
      <c r="B133" s="222"/>
      <c r="C133" s="221"/>
      <c r="D133" s="221"/>
      <c r="E133" s="854" t="s">
        <v>217</v>
      </c>
      <c r="F133" s="855">
        <f>SUMIFS($L$11:$L$30,$C$11:$C$30,$B132,$T$11:$T$30,$E133)</f>
        <v>0</v>
      </c>
      <c r="G133" s="855">
        <f>SUMIFS($L$40:$L$59,$C$40:$C$59,$B132,$T$40:$T$59,$E133)+SUMIFS($L$68:$L$87,$C$68:$C$87,B132,$AG$68:$AG$87,E133)+SUMIFS($AE$11:$AE$31,$C$11:$C$31,B132,$T$11:$T$31,E133)</f>
        <v>0</v>
      </c>
      <c r="H133" s="855">
        <f t="shared" si="51"/>
        <v>0</v>
      </c>
      <c r="I133" s="856" t="str">
        <f>IF(F133=0,"N/A",IF(H133&lt;0,"No ▲","Yes ✓"))</f>
        <v>N/A</v>
      </c>
      <c r="J133" s="643">
        <f>IF(I133="No ▲",1,0)</f>
        <v>0</v>
      </c>
      <c r="R133" s="410"/>
    </row>
    <row r="134" spans="2:18" s="520" customFormat="1" ht="15.6" customHeight="1" x14ac:dyDescent="0.25">
      <c r="B134" s="228" t="s">
        <v>105</v>
      </c>
      <c r="C134" s="227"/>
      <c r="D134" s="226"/>
      <c r="E134" s="607" t="s">
        <v>215</v>
      </c>
      <c r="F134" s="608">
        <f>SUMIFS($L$11:$L$31,$C$11:$C$31,$B134,$T$11:$T$31,$E134)</f>
        <v>0</v>
      </c>
      <c r="G134" s="608">
        <f>SUMIFS($L$40:$L$60,$C$40:$C$60,$B134,$T$40:$T$60,$E134)+SUMIFS($L$68:$L$88,$C$68:$C$88,B134,$AG$68:$AG$88,E134)+SUMIFS($AE$11:$AE$31,$C$11:$C$31,B134,$T$11:$T$31,E134)</f>
        <v>0</v>
      </c>
      <c r="H134" s="608">
        <f t="shared" si="51"/>
        <v>0</v>
      </c>
      <c r="I134" s="609" t="s">
        <v>216</v>
      </c>
      <c r="J134" s="643"/>
      <c r="R134" s="410"/>
    </row>
    <row r="135" spans="2:18" s="520" customFormat="1" ht="23.1" customHeight="1" x14ac:dyDescent="0.25">
      <c r="B135" s="220"/>
      <c r="C135" s="219"/>
      <c r="D135" s="218"/>
      <c r="E135" s="694" t="s">
        <v>217</v>
      </c>
      <c r="F135" s="695">
        <f>SUMIFS($L$11:$L$31,$C$11:$C$31,$B134,$T$11:$T$31,$E135)</f>
        <v>0</v>
      </c>
      <c r="G135" s="695">
        <f>SUMIFS($L$40:$L$60,$C$40:$C$60,$B134,$T$40:$T$60,$E135)+SUMIFS($L$68:$L$88,$C$68:$C$88,B134,$AG$68:$AG$88,E135)+SUMIFS($AE$11:$AE$31,$C$11:$C$31,B134,$T$11:$T$31,E135)</f>
        <v>8.7088364952390127E-2</v>
      </c>
      <c r="H135" s="695">
        <f t="shared" si="51"/>
        <v>8.7088364952390127E-2</v>
      </c>
      <c r="I135" s="980" t="str">
        <f>IF(F135=0,"N/A",IF(H135&lt;0,"No ▲","Yes ✓"))</f>
        <v>N/A</v>
      </c>
      <c r="J135" s="643">
        <f>IF(I135="No ▲",1,0)</f>
        <v>0</v>
      </c>
      <c r="R135" s="410"/>
    </row>
    <row r="136" spans="2:18" s="520" customFormat="1" ht="15.6" customHeight="1" x14ac:dyDescent="0.25">
      <c r="J136" s="643"/>
      <c r="M136" s="521"/>
      <c r="R136" s="410"/>
    </row>
    <row r="137" spans="2:18" s="520" customFormat="1" ht="36" customHeight="1" x14ac:dyDescent="0.25">
      <c r="B137" s="240" t="s">
        <v>209</v>
      </c>
      <c r="C137" s="239"/>
      <c r="D137" s="239"/>
      <c r="E137" s="238"/>
      <c r="F137" s="612" t="s">
        <v>210</v>
      </c>
      <c r="G137" s="612" t="s">
        <v>211</v>
      </c>
      <c r="H137" s="612" t="s">
        <v>212</v>
      </c>
      <c r="I137" s="613" t="s">
        <v>213</v>
      </c>
      <c r="J137" s="643"/>
      <c r="M137" s="521"/>
      <c r="R137" s="410"/>
    </row>
    <row r="138" spans="2:18" s="520" customFormat="1" ht="30.6" customHeight="1" x14ac:dyDescent="0.25">
      <c r="B138" s="217" t="s">
        <v>227</v>
      </c>
      <c r="C138" s="216"/>
      <c r="D138" s="216"/>
      <c r="E138" s="215"/>
      <c r="F138" s="608">
        <f>SUMIFS($L$11:$L$31,$T$11:$T$31,"Medium")</f>
        <v>0</v>
      </c>
      <c r="G138" s="642">
        <f>IF(L61+L89+P1=0,0,SUMIFS($L$40:$L$60,$T$40:$T$60,"Medium")+SUMIFS($L$68:$L$87,$AG$68:$AG$87,"Medium")+SUMIFS($AE$11:$AE$31,$T$11:$T$31,"Medium"))</f>
        <v>8.7088364952390127E-2</v>
      </c>
      <c r="H138" s="608">
        <f>IFERROR(G138-F138,"")</f>
        <v>8.7088364952390127E-2</v>
      </c>
      <c r="I138" s="809" t="str">
        <f>IF(G138="","",IF(H138&gt;=0,"Yes ✓","No ▲"))</f>
        <v>Yes ✓</v>
      </c>
      <c r="J138" s="643">
        <f>IF(I138="No ▲",1,0)</f>
        <v>0</v>
      </c>
      <c r="R138" s="410" t="s">
        <v>67</v>
      </c>
    </row>
    <row r="139" spans="2:18" s="520" customFormat="1" ht="30.6" customHeight="1" x14ac:dyDescent="0.25">
      <c r="B139" s="217" t="s">
        <v>228</v>
      </c>
      <c r="C139" s="216"/>
      <c r="D139" s="216"/>
      <c r="E139" s="215"/>
      <c r="F139" s="608">
        <f>SUMIFS($L$11:$L$31,$T$11:$T$31,"Low")</f>
        <v>0.18197216000000002</v>
      </c>
      <c r="G139" s="642">
        <f>IF(L61+L89+P1=0,0,SUMIFS($L$40:$L$60,$T$40:$T$60,"Low")+SUMIFS($L$68:$L$88,$AG$68:$AG$88,"Low")+SUMIFS($AE$11:$AE$31,$T$11:$T$31,"Low"))</f>
        <v>0.11325891152838931</v>
      </c>
      <c r="H139" s="608">
        <f>IFERROR(G139-F139,"")</f>
        <v>-6.8713248471610713E-2</v>
      </c>
      <c r="I139" s="809" t="str">
        <f>IF($I$142&gt;=0,"Yes ✓","No ▲")</f>
        <v>Yes ✓</v>
      </c>
      <c r="J139" s="643">
        <f>IF(I139="No ▲",1,0)</f>
        <v>0</v>
      </c>
      <c r="R139" s="410"/>
    </row>
    <row r="140" spans="2:18" s="520" customFormat="1" ht="41.25" customHeight="1" x14ac:dyDescent="0.25">
      <c r="B140" s="214" t="s">
        <v>229</v>
      </c>
      <c r="C140" s="213"/>
      <c r="D140" s="213"/>
      <c r="E140" s="212"/>
      <c r="F140" s="211">
        <f>IFERROR(H138+H139,"")</f>
        <v>1.8375116480779413E-2</v>
      </c>
      <c r="G140" s="210"/>
      <c r="H140" s="209"/>
      <c r="I140" s="810" t="str">
        <f>IF(F140="","",IF(F140&gt;=0,"Yes ✓","No ▲"))</f>
        <v>Yes ✓</v>
      </c>
      <c r="J140" s="643">
        <f>IF(I140="No ▲",1,0)</f>
        <v>0</v>
      </c>
      <c r="R140" s="410"/>
    </row>
    <row r="141" spans="2:18" s="520" customFormat="1" x14ac:dyDescent="0.25">
      <c r="R141" s="410"/>
    </row>
    <row r="142" spans="2:18" s="520" customFormat="1" x14ac:dyDescent="0.25">
      <c r="I142" s="912">
        <f>IF($H$138&gt;0,($H$139+$H$138),$H$139)</f>
        <v>1.8375116480779413E-2</v>
      </c>
      <c r="R142" s="410"/>
    </row>
    <row r="143" spans="2:18" s="520" customFormat="1" x14ac:dyDescent="0.25">
      <c r="R143" s="410"/>
    </row>
    <row r="144" spans="2:18" s="520" customFormat="1" x14ac:dyDescent="0.25">
      <c r="R144" s="410"/>
    </row>
    <row r="145" spans="18:18" s="520" customFormat="1" x14ac:dyDescent="0.25">
      <c r="R145" s="410"/>
    </row>
    <row r="146" spans="18:18" s="520" customFormat="1" x14ac:dyDescent="0.25">
      <c r="R146" s="410"/>
    </row>
    <row r="147" spans="18:18" s="520" customFormat="1" x14ac:dyDescent="0.25">
      <c r="R147" s="410"/>
    </row>
    <row r="148" spans="18:18" s="520" customFormat="1" x14ac:dyDescent="0.25">
      <c r="R148" s="410"/>
    </row>
    <row r="149" spans="18:18" s="520" customFormat="1" x14ac:dyDescent="0.25">
      <c r="R149" s="410"/>
    </row>
    <row r="150" spans="18:18" s="520" customFormat="1" x14ac:dyDescent="0.25">
      <c r="R150" s="410"/>
    </row>
    <row r="151" spans="18:18" s="520" customFormat="1" x14ac:dyDescent="0.25">
      <c r="R151" s="410"/>
    </row>
    <row r="152" spans="18:18" s="520" customFormat="1" x14ac:dyDescent="0.25">
      <c r="R152" s="410"/>
    </row>
    <row r="153" spans="18:18" s="520" customFormat="1" x14ac:dyDescent="0.25">
      <c r="R153" s="410"/>
    </row>
    <row r="154" spans="18:18" s="520" customFormat="1" x14ac:dyDescent="0.25">
      <c r="R154" s="410"/>
    </row>
    <row r="155" spans="18:18" s="520" customFormat="1" x14ac:dyDescent="0.25">
      <c r="R155" s="410"/>
    </row>
    <row r="156" spans="18:18" s="520" customFormat="1" x14ac:dyDescent="0.25">
      <c r="R156" s="410"/>
    </row>
    <row r="157" spans="18:18" s="520" customFormat="1" x14ac:dyDescent="0.25">
      <c r="R157" s="410"/>
    </row>
    <row r="158" spans="18:18" s="520" customFormat="1" x14ac:dyDescent="0.25">
      <c r="R158" s="410"/>
    </row>
    <row r="159" spans="18:18" s="520" customFormat="1" x14ac:dyDescent="0.25">
      <c r="R159" s="410"/>
    </row>
    <row r="160" spans="18:18" s="520" customFormat="1" x14ac:dyDescent="0.25">
      <c r="R160" s="410"/>
    </row>
    <row r="161" spans="18:18" s="520" customFormat="1" x14ac:dyDescent="0.25">
      <c r="R161" s="410"/>
    </row>
    <row r="162" spans="18:18" s="520" customFormat="1" x14ac:dyDescent="0.25">
      <c r="R162" s="410"/>
    </row>
    <row r="163" spans="18:18" s="520" customFormat="1" x14ac:dyDescent="0.25">
      <c r="R163" s="410"/>
    </row>
    <row r="164" spans="18:18" s="520" customFormat="1" x14ac:dyDescent="0.25">
      <c r="R164" s="410"/>
    </row>
    <row r="165" spans="18:18" s="520" customFormat="1" x14ac:dyDescent="0.25">
      <c r="R165" s="410"/>
    </row>
    <row r="166" spans="18:18" s="520" customFormat="1" x14ac:dyDescent="0.25">
      <c r="R166" s="410"/>
    </row>
    <row r="167" spans="18:18" s="520" customFormat="1" x14ac:dyDescent="0.25">
      <c r="R167" s="410"/>
    </row>
    <row r="168" spans="18:18" s="520" customFormat="1" x14ac:dyDescent="0.25">
      <c r="R168" s="410"/>
    </row>
    <row r="169" spans="18:18" s="520" customFormat="1" x14ac:dyDescent="0.25">
      <c r="R169" s="410"/>
    </row>
  </sheetData>
  <sheetProtection algorithmName="SHA-512" hashValue="rsFdASMxyLnDo8IkIV7Oz7GB6MQlYQrKcjh4/1rrGzsCnMN8e+oyx4NVrw492eMJ0B8aqwKpBzG9N0LG0ETPHQ==" saltValue="nPSlTLoCZlsnf9MRvJ0giA==" spinCount="100000" sheet="1" formatRows="0"/>
  <mergeCells count="332">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 ref="B99:C99"/>
    <mergeCell ref="E99:F99"/>
    <mergeCell ref="G99:H99"/>
    <mergeCell ref="I99:K99"/>
    <mergeCell ref="L99:N99"/>
    <mergeCell ref="O99:P99"/>
    <mergeCell ref="E100:G100"/>
    <mergeCell ref="A102:Q104"/>
    <mergeCell ref="B108:D108"/>
    <mergeCell ref="E108:I108"/>
    <mergeCell ref="B97:C97"/>
    <mergeCell ref="E97:F97"/>
    <mergeCell ref="G97:H97"/>
    <mergeCell ref="I97:K97"/>
    <mergeCell ref="L97:N97"/>
    <mergeCell ref="O97:P97"/>
    <mergeCell ref="B98:C98"/>
    <mergeCell ref="E98:F98"/>
    <mergeCell ref="G98:H98"/>
    <mergeCell ref="I98:K98"/>
    <mergeCell ref="L98:N98"/>
    <mergeCell ref="O98:P98"/>
    <mergeCell ref="B95:C95"/>
    <mergeCell ref="E95:F95"/>
    <mergeCell ref="G95:H95"/>
    <mergeCell ref="I95:K95"/>
    <mergeCell ref="L95:N95"/>
    <mergeCell ref="O95:P95"/>
    <mergeCell ref="B96:C96"/>
    <mergeCell ref="E96:F96"/>
    <mergeCell ref="G96:H96"/>
    <mergeCell ref="I96:K96"/>
    <mergeCell ref="L96:N96"/>
    <mergeCell ref="O96:P96"/>
    <mergeCell ref="F88:G88"/>
    <mergeCell ref="J88:K88"/>
    <mergeCell ref="M88:N88"/>
    <mergeCell ref="M89:N89"/>
    <mergeCell ref="B93:C94"/>
    <mergeCell ref="D93:D94"/>
    <mergeCell ref="E93:F94"/>
    <mergeCell ref="G93:H94"/>
    <mergeCell ref="I93:P93"/>
    <mergeCell ref="I94:K94"/>
    <mergeCell ref="L94:N94"/>
    <mergeCell ref="O94:P94"/>
    <mergeCell ref="F85:G85"/>
    <mergeCell ref="J85:K85"/>
    <mergeCell ref="M85:N85"/>
    <mergeCell ref="F86:G86"/>
    <mergeCell ref="J86:K86"/>
    <mergeCell ref="M86:N86"/>
    <mergeCell ref="F87:G87"/>
    <mergeCell ref="J87:K87"/>
    <mergeCell ref="M87:N87"/>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M72:N72"/>
    <mergeCell ref="F73:G73"/>
    <mergeCell ref="J73:K73"/>
    <mergeCell ref="M73:N73"/>
    <mergeCell ref="F74:G74"/>
    <mergeCell ref="J74:K74"/>
    <mergeCell ref="M74:N74"/>
    <mergeCell ref="F75:G75"/>
    <mergeCell ref="J75:K75"/>
    <mergeCell ref="M75:N75"/>
    <mergeCell ref="T66:AD66"/>
    <mergeCell ref="AE66:AE67"/>
    <mergeCell ref="AF66:AP66"/>
    <mergeCell ref="AQ66:AQ67"/>
    <mergeCell ref="AR66:AX66"/>
    <mergeCell ref="F67:G67"/>
    <mergeCell ref="F68:G68"/>
    <mergeCell ref="J68:K68"/>
    <mergeCell ref="M68:N68"/>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F58:G58"/>
    <mergeCell ref="I58:K58"/>
    <mergeCell ref="L58:N58"/>
    <mergeCell ref="T58:U58"/>
    <mergeCell ref="F59:G59"/>
    <mergeCell ref="I59:K59"/>
    <mergeCell ref="L59:N59"/>
    <mergeCell ref="T59:U59"/>
    <mergeCell ref="F60:G60"/>
    <mergeCell ref="I60:K60"/>
    <mergeCell ref="L60:N60"/>
    <mergeCell ref="T60:U60"/>
    <mergeCell ref="F55:G55"/>
    <mergeCell ref="I55:K55"/>
    <mergeCell ref="L55:N55"/>
    <mergeCell ref="T55:U55"/>
    <mergeCell ref="F56:G56"/>
    <mergeCell ref="I56:K56"/>
    <mergeCell ref="L56:N56"/>
    <mergeCell ref="T56:U56"/>
    <mergeCell ref="F57:G57"/>
    <mergeCell ref="I57:K57"/>
    <mergeCell ref="L57:N57"/>
    <mergeCell ref="T57:U57"/>
    <mergeCell ref="F52:G52"/>
    <mergeCell ref="I52:K52"/>
    <mergeCell ref="L52:N52"/>
    <mergeCell ref="T52:U52"/>
    <mergeCell ref="F53:G53"/>
    <mergeCell ref="I53:K53"/>
    <mergeCell ref="L53:N53"/>
    <mergeCell ref="T53:U53"/>
    <mergeCell ref="F54:G54"/>
    <mergeCell ref="I54:K54"/>
    <mergeCell ref="L54:N54"/>
    <mergeCell ref="T54:U54"/>
    <mergeCell ref="F49:G49"/>
    <mergeCell ref="I49:K49"/>
    <mergeCell ref="L49:N49"/>
    <mergeCell ref="T49:U49"/>
    <mergeCell ref="F50:G50"/>
    <mergeCell ref="I50:K50"/>
    <mergeCell ref="L50:N50"/>
    <mergeCell ref="T50:U50"/>
    <mergeCell ref="F51:G51"/>
    <mergeCell ref="I51:K51"/>
    <mergeCell ref="L51:N51"/>
    <mergeCell ref="T51:U51"/>
    <mergeCell ref="F46:G46"/>
    <mergeCell ref="I46:K46"/>
    <mergeCell ref="L46:N46"/>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W38:X38"/>
    <mergeCell ref="Y38:AA38"/>
    <mergeCell ref="AB38:AD38"/>
    <mergeCell ref="AE38:AF38"/>
    <mergeCell ref="AG38:AH38"/>
    <mergeCell ref="F39:G39"/>
    <mergeCell ref="T39:U39"/>
    <mergeCell ref="F40:G40"/>
    <mergeCell ref="I40:K40"/>
    <mergeCell ref="L40:N40"/>
    <mergeCell ref="T40:U4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 ref="D31:E31"/>
    <mergeCell ref="F31:H31"/>
  </mergeCells>
  <phoneticPr fontId="19" type="noConversion"/>
  <conditionalFormatting sqref="E68:E88">
    <cfRule type="cellIs" dxfId="172" priority="15" operator="equal">
      <formula>"Enhancement not possible"</formula>
    </cfRule>
  </conditionalFormatting>
  <conditionalFormatting sqref="E108:E109">
    <cfRule type="containsText" dxfId="171" priority="51" operator="containsText" text="Trading Rules Satisfied">
      <formula>NOT(ISERROR(SEARCH("Trading Rules Satisfied",E108)))</formula>
    </cfRule>
    <cfRule type="containsText" dxfId="170" priority="52" operator="containsText" text="Error - Trading Rules Not Satisfied">
      <formula>NOT(ISERROR(SEARCH("Error - Trading Rules Not Satisfied",E108)))</formula>
    </cfRule>
  </conditionalFormatting>
  <conditionalFormatting sqref="E95:F98">
    <cfRule type="cellIs" dxfId="169" priority="2" operator="greaterThan">
      <formula>$D95</formula>
    </cfRule>
  </conditionalFormatting>
  <conditionalFormatting sqref="E100:G100">
    <cfRule type="containsText" dxfId="168" priority="8" operator="containsText" text="Error">
      <formula>NOT(ISERROR(SEARCH("Error",E100)))</formula>
    </cfRule>
  </conditionalFormatting>
  <conditionalFormatting sqref="F40:F59">
    <cfRule type="containsBlanks" dxfId="167" priority="17" stopIfTrue="1">
      <formula>LEN(TRIM(F40))=0</formula>
    </cfRule>
    <cfRule type="expression" dxfId="166" priority="18">
      <formula>ISNUMBER(SEARCH(F40,E40,1))</formula>
    </cfRule>
  </conditionalFormatting>
  <conditionalFormatting sqref="F68:G87">
    <cfRule type="containsText" dxfId="165" priority="3" operator="containsText" text="not possible">
      <formula>NOT(ISERROR(SEARCH("not possible",F68)))</formula>
    </cfRule>
    <cfRule type="expression" dxfId="164" priority="14">
      <formula>$D68=""</formula>
    </cfRule>
  </conditionalFormatting>
  <conditionalFormatting sqref="H88">
    <cfRule type="expression" dxfId="163" priority="16">
      <formula>$D88=""</formula>
    </cfRule>
  </conditionalFormatting>
  <conditionalFormatting sqref="I89">
    <cfRule type="expression" dxfId="162" priority="35">
      <formula>"p18=""Avoid"""</formula>
    </cfRule>
    <cfRule type="cellIs" dxfId="161" priority="34" operator="equal">
      <formula>"Any loss Unacceptable"</formula>
    </cfRule>
  </conditionalFormatting>
  <conditionalFormatting sqref="I114:I135">
    <cfRule type="containsText" dxfId="160" priority="5" operator="containsText" text="Yes">
      <formula>NOT(ISERROR(SEARCH("Yes",I114)))</formula>
    </cfRule>
    <cfRule type="containsText" dxfId="159" priority="6" operator="containsText" text="No">
      <formula>NOT(ISERROR(SEARCH("No",I114)))</formula>
    </cfRule>
  </conditionalFormatting>
  <conditionalFormatting sqref="I138:I140">
    <cfRule type="containsText" dxfId="158" priority="49" operator="containsText" text="Yes">
      <formula>NOT(ISERROR(SEARCH("Yes",I138)))</formula>
    </cfRule>
    <cfRule type="containsText" dxfId="157" priority="50" operator="containsText" text="No">
      <formula>NOT(ISERROR(SEARCH("No",I138)))</formula>
    </cfRule>
  </conditionalFormatting>
  <conditionalFormatting sqref="I33:N35">
    <cfRule type="containsText" dxfId="156" priority="23" operator="containsText" text="acceptable">
      <formula>NOT(ISERROR(SEARCH("acceptable",I33)))</formula>
    </cfRule>
    <cfRule type="containsText" dxfId="155" priority="22" operator="containsText" text="error">
      <formula>NOT(ISERROR(SEARCH("error",I33)))</formula>
    </cfRule>
  </conditionalFormatting>
  <conditionalFormatting sqref="I62:N62">
    <cfRule type="containsText" dxfId="154" priority="21" operator="containsText" text="acceptable">
      <formula>NOT(ISERROR(SEARCH("acceptable",I62)))</formula>
    </cfRule>
  </conditionalFormatting>
  <conditionalFormatting sqref="J2 O6:P6">
    <cfRule type="containsText" dxfId="153" priority="20" operator="containsText" text="Errors Present On Sheet">
      <formula>NOT(ISERROR(SEARCH("Errors Present On Sheet",J2)))</formula>
    </cfRule>
  </conditionalFormatting>
  <conditionalFormatting sqref="J2">
    <cfRule type="containsText" dxfId="152" priority="9" operator="containsText" text="Technical">
      <formula>NOT(ISERROR(SEARCH("Technical",J2)))</formula>
    </cfRule>
  </conditionalFormatting>
  <conditionalFormatting sqref="K11:K30">
    <cfRule type="expression" dxfId="151" priority="24">
      <formula>$AI11="Enhancement not possible"</formula>
    </cfRule>
  </conditionalFormatting>
  <conditionalFormatting sqref="L11:L30 L40:N59 L68:L88">
    <cfRule type="containsText" dxfId="150" priority="10" operator="containsText" text="▲">
      <formula>NOT(ISERROR(SEARCH("▲",L11)))</formula>
    </cfRule>
  </conditionalFormatting>
  <conditionalFormatting sqref="L11:L30 L40:N59">
    <cfRule type="containsText" dxfId="149" priority="11" operator="containsText" text="value">
      <formula>NOT(ISERROR(SEARCH("value",L11)))</formula>
    </cfRule>
  </conditionalFormatting>
  <conditionalFormatting sqref="L89">
    <cfRule type="expression" dxfId="148" priority="33">
      <formula>"p18=""Avoid"""</formula>
    </cfRule>
    <cfRule type="cellIs" dxfId="147" priority="32" operator="equal">
      <formula>"Any loss Unacceptable"</formula>
    </cfRule>
  </conditionalFormatting>
  <conditionalFormatting sqref="L11:M30">
    <cfRule type="cellIs" dxfId="146" priority="69" operator="equal">
      <formula>"Any loss Unacceptable"</formula>
    </cfRule>
    <cfRule type="expression" dxfId="145" priority="70">
      <formula>"p18=""Avoid"""</formula>
    </cfRule>
  </conditionalFormatting>
  <conditionalFormatting sqref="L31:M31">
    <cfRule type="cellIs" dxfId="144" priority="38" operator="equal">
      <formula>"Unacceptable Loss"</formula>
    </cfRule>
    <cfRule type="cellIs" dxfId="143" priority="39" operator="equal">
      <formula>"Compensation Agreed"</formula>
    </cfRule>
    <cfRule type="cellIs" dxfId="142" priority="37" operator="equal">
      <formula>"Alternative Compensation"</formula>
    </cfRule>
  </conditionalFormatting>
  <conditionalFormatting sqref="L40:M60">
    <cfRule type="cellIs" dxfId="141" priority="43" operator="equal">
      <formula>"Alternative Compensation"</formula>
    </cfRule>
    <cfRule type="cellIs" dxfId="140" priority="44" operator="equal">
      <formula>"Unacceptable Loss"</formula>
    </cfRule>
    <cfRule type="cellIs" dxfId="139" priority="45" operator="equal">
      <formula>"Compensation Agreed"</formula>
    </cfRule>
  </conditionalFormatting>
  <conditionalFormatting sqref="L68:M88">
    <cfRule type="cellIs" dxfId="138" priority="26" operator="equal">
      <formula>"Unacceptable Loss"</formula>
    </cfRule>
    <cfRule type="cellIs" dxfId="137" priority="27" operator="equal">
      <formula>"Compensation Agreed"</formula>
    </cfRule>
    <cfRule type="cellIs" dxfId="136" priority="25" operator="equal">
      <formula>"Alternative Compensation"</formula>
    </cfRule>
  </conditionalFormatting>
  <conditionalFormatting sqref="L95:N98">
    <cfRule type="containsText" dxfId="135" priority="1" operator="containsText" text="Error">
      <formula>NOT(ISERROR(SEARCH("Error",L95)))</formula>
    </cfRule>
  </conditionalFormatting>
  <conditionalFormatting sqref="M11:M30 I62:N62">
    <cfRule type="containsText" dxfId="134" priority="19" operator="containsText" text="error">
      <formula>NOT(ISERROR(SEARCH("error",M11)))</formula>
    </cfRule>
  </conditionalFormatting>
  <conditionalFormatting sqref="N11:N30">
    <cfRule type="cellIs" dxfId="133" priority="63" operator="equal">
      <formula>"Alternative Compensation"</formula>
    </cfRule>
    <cfRule type="cellIs" dxfId="132" priority="64" operator="equal">
      <formula>"Unacceptable Loss"</formula>
    </cfRule>
    <cfRule type="cellIs" dxfId="131" priority="65" operator="equal">
      <formula>"Compensation Agreed"</formula>
    </cfRule>
    <cfRule type="cellIs" dxfId="130" priority="66" operator="equal">
      <formula>"Unacceptable Loss"</formula>
    </cfRule>
    <cfRule type="containsText" dxfId="129" priority="13" operator="containsText" text="error">
      <formula>NOT(ISERROR(SEARCH("error",N11)))</formula>
    </cfRule>
    <cfRule type="containsText" dxfId="128" priority="12" operator="containsText" text="▲">
      <formula>NOT(ISERROR(SEARCH("▲",N11)))</formula>
    </cfRule>
  </conditionalFormatting>
  <conditionalFormatting sqref="P1:P5 J68:K87 M68:N87">
    <cfRule type="containsText" dxfId="127" priority="4" operator="containsText" text="Error ▲">
      <formula>NOT(ISERROR(SEARCH("Error ▲",P1)))</formula>
    </cfRule>
  </conditionalFormatting>
  <conditionalFormatting sqref="X11:X31">
    <cfRule type="cellIs" dxfId="126" priority="72" operator="equal">
      <formula>"Not Possible"</formula>
    </cfRule>
  </conditionalFormatting>
  <conditionalFormatting sqref="X40:X60">
    <cfRule type="cellIs" dxfId="125" priority="36" operator="equal">
      <formula>"Not Possible"</formula>
    </cfRule>
  </conditionalFormatting>
  <conditionalFormatting sqref="AG11:AG31">
    <cfRule type="cellIs" dxfId="124" priority="71" operator="equal">
      <formula>"Unacceptable Loss"</formula>
    </cfRule>
  </conditionalFormatting>
  <conditionalFormatting sqref="AJ68:AJ88">
    <cfRule type="cellIs" dxfId="123"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5" zeroHeight="1" x14ac:dyDescent="0.25"/>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520" customFormat="1" ht="15.75" customHeight="1" x14ac:dyDescent="0.25">
      <c r="I1" s="538"/>
      <c r="J1" s="538"/>
      <c r="K1" s="538"/>
      <c r="L1" s="538"/>
      <c r="M1" s="538"/>
      <c r="N1" s="538"/>
      <c r="O1" s="640" t="s">
        <v>66</v>
      </c>
      <c r="P1" s="757">
        <f>IFERROR(SUM(AE11:AE30), "Error ▲")</f>
        <v>0.10542839999999999</v>
      </c>
      <c r="R1" s="410" t="s">
        <v>67</v>
      </c>
      <c r="T1" s="521"/>
    </row>
    <row r="2" spans="1:35" s="520" customFormat="1" ht="19.899999999999999" customHeight="1" x14ac:dyDescent="0.3">
      <c r="B2" s="566" t="s">
        <v>68</v>
      </c>
      <c r="C2" s="409" t="str">
        <f>IF('2. Site Details'!D4="","Enter site name on 2. Site Details",'2. Site Details'!D4)</f>
        <v>Kennally SSJ</v>
      </c>
      <c r="D2" s="408"/>
      <c r="F2" s="407" t="s">
        <v>230</v>
      </c>
      <c r="G2" s="406"/>
      <c r="H2" s="405"/>
      <c r="I2" s="538"/>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row>
    <row r="3" spans="1:35" s="520" customFormat="1" ht="19.899999999999999" customHeight="1" x14ac:dyDescent="0.3">
      <c r="B3" s="568" t="s">
        <v>16</v>
      </c>
      <c r="C3" s="397" t="s">
        <v>231</v>
      </c>
      <c r="D3" s="396"/>
      <c r="F3" s="404"/>
      <c r="G3" s="403"/>
      <c r="H3" s="402"/>
      <c r="I3" s="538"/>
      <c r="J3" s="398"/>
      <c r="K3" s="398"/>
      <c r="L3" s="398"/>
      <c r="M3" s="398"/>
      <c r="N3" s="567"/>
      <c r="O3" s="569" t="s">
        <v>72</v>
      </c>
      <c r="P3" s="757">
        <f>IFERROR(L59, "Error ▲")</f>
        <v>0</v>
      </c>
      <c r="R3" s="410"/>
      <c r="T3" s="521"/>
    </row>
    <row r="4" spans="1:35" s="520" customFormat="1" ht="19.899999999999999" customHeight="1" x14ac:dyDescent="0.25">
      <c r="B4" s="570"/>
      <c r="C4" s="570"/>
      <c r="D4" s="570"/>
      <c r="F4" s="404"/>
      <c r="G4" s="403"/>
      <c r="H4" s="402"/>
      <c r="I4" s="538"/>
      <c r="J4" s="398"/>
      <c r="K4" s="398"/>
      <c r="L4" s="398"/>
      <c r="M4" s="398"/>
      <c r="N4" s="567"/>
      <c r="O4" s="569" t="s">
        <v>73</v>
      </c>
      <c r="P4" s="757">
        <f>IFERROR(L86, "Error ▲")</f>
        <v>0.19322614147243541</v>
      </c>
      <c r="R4" s="410"/>
      <c r="T4" s="521"/>
    </row>
    <row r="5" spans="1:35" s="520" customFormat="1" ht="19.899999999999999" customHeight="1" x14ac:dyDescent="0.25">
      <c r="A5" s="571"/>
      <c r="F5" s="404"/>
      <c r="G5" s="403"/>
      <c r="H5" s="402"/>
      <c r="I5" s="538"/>
      <c r="J5" s="398"/>
      <c r="K5" s="398"/>
      <c r="L5" s="398"/>
      <c r="M5" s="398"/>
      <c r="N5" s="567"/>
      <c r="O5" s="572" t="s">
        <v>74</v>
      </c>
      <c r="P5" s="758">
        <f>IFERROR(P1+L59+L86-L31, "Error ▲")</f>
        <v>5.844134147243546E-2</v>
      </c>
      <c r="R5" s="410"/>
      <c r="T5" s="521"/>
    </row>
    <row r="6" spans="1:35" s="520" customFormat="1" ht="13.15" customHeight="1" x14ac:dyDescent="0.25">
      <c r="A6" s="571"/>
      <c r="F6" s="401"/>
      <c r="G6" s="400"/>
      <c r="H6" s="399"/>
      <c r="I6" s="538"/>
      <c r="J6" s="538"/>
      <c r="K6" s="538"/>
      <c r="L6" s="538"/>
      <c r="M6" s="538"/>
      <c r="N6" s="538"/>
      <c r="O6" s="573"/>
      <c r="P6" s="573"/>
      <c r="R6" s="410"/>
      <c r="T6" s="521"/>
    </row>
    <row r="7" spans="1:35" s="520" customFormat="1" ht="19.149999999999999" customHeight="1" x14ac:dyDescent="0.35">
      <c r="B7" s="543" t="s">
        <v>75</v>
      </c>
      <c r="D7" s="574"/>
      <c r="H7" s="521"/>
      <c r="K7" s="521"/>
      <c r="L7" s="525"/>
      <c r="M7" s="525"/>
      <c r="N7" s="525"/>
      <c r="R7" s="410"/>
      <c r="T7" s="521"/>
    </row>
    <row r="8" spans="1:35" s="520" customFormat="1" ht="10.9" customHeight="1" x14ac:dyDescent="0.25">
      <c r="A8" s="575"/>
      <c r="R8" s="410"/>
    </row>
    <row r="9" spans="1:35" s="520" customFormat="1" ht="29.65" customHeight="1" x14ac:dyDescent="0.25">
      <c r="A9" s="575"/>
      <c r="B9" s="395" t="s">
        <v>60</v>
      </c>
      <c r="C9" s="393" t="s">
        <v>76</v>
      </c>
      <c r="D9" s="392"/>
      <c r="E9" s="391"/>
      <c r="F9" s="390" t="s">
        <v>77</v>
      </c>
      <c r="G9" s="389"/>
      <c r="H9" s="388"/>
      <c r="I9" s="393" t="s">
        <v>232</v>
      </c>
      <c r="J9" s="392"/>
      <c r="K9" s="391"/>
      <c r="L9" s="384" t="s">
        <v>79</v>
      </c>
      <c r="M9" s="383"/>
      <c r="N9" s="382"/>
      <c r="O9" s="384" t="s">
        <v>80</v>
      </c>
      <c r="P9" s="382"/>
      <c r="R9" s="410"/>
      <c r="T9" s="381" t="s">
        <v>81</v>
      </c>
      <c r="U9" s="380"/>
      <c r="V9" s="208"/>
      <c r="W9" s="381" t="s">
        <v>82</v>
      </c>
      <c r="X9" s="379"/>
      <c r="Y9" s="377"/>
      <c r="Z9" s="377"/>
      <c r="AA9" s="377"/>
      <c r="AB9" s="378" t="s">
        <v>83</v>
      </c>
      <c r="AC9" s="380"/>
      <c r="AD9" s="379"/>
      <c r="AE9" s="381" t="s">
        <v>84</v>
      </c>
      <c r="AF9" s="380"/>
      <c r="AG9" s="379"/>
      <c r="AH9" s="381" t="s">
        <v>85</v>
      </c>
      <c r="AI9" s="379" t="s">
        <v>86</v>
      </c>
    </row>
    <row r="10" spans="1:35" s="520" customFormat="1" ht="32.65" customHeight="1" x14ac:dyDescent="0.25">
      <c r="A10" s="575"/>
      <c r="B10" s="394"/>
      <c r="C10" s="572" t="s">
        <v>87</v>
      </c>
      <c r="D10" s="339" t="s">
        <v>88</v>
      </c>
      <c r="E10" s="206"/>
      <c r="F10" s="387"/>
      <c r="G10" s="386"/>
      <c r="H10" s="385"/>
      <c r="I10" s="572" t="s">
        <v>233</v>
      </c>
      <c r="J10" s="682" t="s">
        <v>234</v>
      </c>
      <c r="K10" s="576" t="s">
        <v>235</v>
      </c>
      <c r="L10" s="871" t="s">
        <v>236</v>
      </c>
      <c r="M10" s="872" t="s">
        <v>237</v>
      </c>
      <c r="N10" s="873" t="s">
        <v>94</v>
      </c>
      <c r="O10" s="572" t="s">
        <v>95</v>
      </c>
      <c r="P10" s="576" t="s">
        <v>96</v>
      </c>
      <c r="R10" s="410"/>
      <c r="T10" s="370" t="s">
        <v>97</v>
      </c>
      <c r="U10" s="369"/>
      <c r="V10" s="821" t="s">
        <v>98</v>
      </c>
      <c r="W10" s="577" t="s">
        <v>99</v>
      </c>
      <c r="X10" s="578" t="s">
        <v>98</v>
      </c>
      <c r="Y10" s="826"/>
      <c r="Z10" s="826"/>
      <c r="AA10" s="826"/>
      <c r="AB10" s="814" t="s">
        <v>83</v>
      </c>
      <c r="AC10" s="535" t="s">
        <v>83</v>
      </c>
      <c r="AD10" s="578" t="s">
        <v>100</v>
      </c>
      <c r="AE10" s="577" t="s">
        <v>101</v>
      </c>
      <c r="AF10" s="535" t="s">
        <v>102</v>
      </c>
      <c r="AG10" s="578" t="s">
        <v>103</v>
      </c>
      <c r="AH10" s="370"/>
      <c r="AI10" s="207"/>
    </row>
    <row r="11" spans="1:35" s="520" customFormat="1" ht="28.9" customHeight="1" x14ac:dyDescent="0.25">
      <c r="A11" s="575"/>
      <c r="B11" s="750">
        <v>1</v>
      </c>
      <c r="C11" s="1029" t="s">
        <v>238</v>
      </c>
      <c r="D11" s="205" t="s">
        <v>251</v>
      </c>
      <c r="E11" s="204"/>
      <c r="F11" s="203" t="s">
        <v>188</v>
      </c>
      <c r="G11" s="202"/>
      <c r="H11" s="201"/>
      <c r="I11" s="782">
        <v>26.357099999999999</v>
      </c>
      <c r="J11" s="783">
        <v>26.357099999999999</v>
      </c>
      <c r="K11" s="784">
        <v>0</v>
      </c>
      <c r="L11" s="775">
        <f t="shared" ref="L11:L30" si="0">IF(D11="","",IFERROR(IF(I11="","",((I11/1000)*V11*X11)*AD11),"This intervention is not permitted within the SSM ▲"))</f>
        <v>0.10542839999999999</v>
      </c>
      <c r="M11" s="794">
        <f t="shared" ref="M11:M30" si="1">IF(I11="","",IF(J11+K11&gt;I11,"Length Error ▲",I11-J11-K11))</f>
        <v>0</v>
      </c>
      <c r="N11" s="776">
        <f t="shared" ref="N11:N30" si="2">IFERROR(IF(I11="","",IF(M11="Length Error ▲","Length Error ▲",((M11/1000)*V11*X11)*AD11)),"This intervention is not permitted within the SSM ▲")</f>
        <v>0</v>
      </c>
      <c r="O11" s="629"/>
      <c r="P11" s="630"/>
      <c r="R11" s="410"/>
      <c r="T11" s="363" t="str">
        <f>IF(D11="","",VLOOKUP(D11,'9. All Habitats + Multipliers'!$C$4:$K$102,5,FALSE))</f>
        <v>Low</v>
      </c>
      <c r="U11" s="362"/>
      <c r="V11" s="824">
        <f>IF(T11="","",VLOOKUP(T11,'11. Lists'!$S$47:$U$50,2,FALSE))</f>
        <v>2</v>
      </c>
      <c r="W11" s="579" t="str">
        <f>IF(D11="","",VLOOKUP(D11,'10. Condition and Temporal'!$B$6:$C$103,2,FALSE))</f>
        <v>Moderate</v>
      </c>
      <c r="X11" s="580">
        <f>IF(W11="","",VLOOKUP(W11,'11. Lists'!$F$47:$G$51,2,FALSE))</f>
        <v>2</v>
      </c>
      <c r="Y11" s="534"/>
      <c r="Z11" s="534"/>
      <c r="AA11" s="534"/>
      <c r="AB11" s="669" t="str">
        <f t="shared" ref="AB11:AB30" si="3">IF(F11="","",F11)</f>
        <v>Area/compensation not in local strategy/ no local strategy</v>
      </c>
      <c r="AC11" s="581" t="str">
        <f>IF(AB11="","",VLOOKUP(AB11,'11. Lists'!$F$36:$H$38,2,FALSE))</f>
        <v>Low Strategic Significance</v>
      </c>
      <c r="AD11" s="580">
        <f>IF(AB11="","",VLOOKUP(AB11,'11. Lists'!$F$36:$H$38,3,FALSE))</f>
        <v>1</v>
      </c>
      <c r="AE11" s="778">
        <f t="shared" ref="AE11:AE30" si="4">IF(D11="","",((J11/1000)*V11*X11)*AD11)</f>
        <v>0.10542839999999999</v>
      </c>
      <c r="AF11" s="779">
        <f t="shared" ref="AF11:AF30" si="5">IF(D11="","",((K11/1000)*V11*X11)*AD11)</f>
        <v>0</v>
      </c>
      <c r="AG11" s="582">
        <f t="shared" ref="AG11:AG30" si="6">IF(D11="","",M11)</f>
        <v>0</v>
      </c>
      <c r="AH11" s="579" t="str">
        <f>IF(T11="","",VLOOKUP(T11,'11. Lists'!$B$47:$D$49,3,FALSE))</f>
        <v>Same distinctiveness or better habitat required</v>
      </c>
      <c r="AI11" s="580" t="str">
        <f>IF(D11="","",VLOOKUP(D11,'10. Condition and Temporal'!$B$6:$L$103,4,FALSE))</f>
        <v>Native hedgerow, Species-rich native hedgerow, Native hedgerow - associated with bank or ditch, Native hedgerow with trees</v>
      </c>
    </row>
    <row r="12" spans="1:35" s="520" customFormat="1" ht="28.9" customHeight="1" x14ac:dyDescent="0.25">
      <c r="B12" s="744">
        <v>2</v>
      </c>
      <c r="C12" s="1029" t="s">
        <v>238</v>
      </c>
      <c r="D12" s="290" t="s">
        <v>247</v>
      </c>
      <c r="E12" s="289"/>
      <c r="F12" s="200" t="s">
        <v>188</v>
      </c>
      <c r="G12" s="199"/>
      <c r="H12" s="198"/>
      <c r="I12" s="785">
        <v>16.848099999999999</v>
      </c>
      <c r="J12" s="786">
        <v>0</v>
      </c>
      <c r="K12" s="787">
        <v>16.848099999999999</v>
      </c>
      <c r="L12" s="774">
        <f t="shared" si="0"/>
        <v>0.13478479999999998</v>
      </c>
      <c r="M12" s="781">
        <f t="shared" si="1"/>
        <v>0</v>
      </c>
      <c r="N12" s="770">
        <f t="shared" si="2"/>
        <v>0</v>
      </c>
      <c r="O12" s="554"/>
      <c r="P12" s="499"/>
      <c r="R12" s="410"/>
      <c r="T12" s="363" t="str">
        <f>IF(D12="","",VLOOKUP(D12,'9. All Habitats + Multipliers'!$C$4:$K$102,5,FALSE))</f>
        <v>Medium</v>
      </c>
      <c r="U12" s="362"/>
      <c r="V12" s="824">
        <f>IF(T12="","",VLOOKUP(T12,'11. Lists'!$S$47:$U$50,2,FALSE))</f>
        <v>4</v>
      </c>
      <c r="W12" s="579" t="str">
        <f>IF(D12="","",VLOOKUP(D12,'10. Condition and Temporal'!$B$6:$C$103,2,FALSE))</f>
        <v>Moderate</v>
      </c>
      <c r="X12" s="580">
        <f>IF(W12="","",VLOOKUP(W12,'11. Lists'!$F$47:$G$51,2,FALSE))</f>
        <v>2</v>
      </c>
      <c r="Y12" s="534"/>
      <c r="Z12" s="534"/>
      <c r="AA12" s="534"/>
      <c r="AB12" s="669" t="str">
        <f t="shared" si="3"/>
        <v>Area/compensation not in local strategy/ no local strategy</v>
      </c>
      <c r="AC12" s="581" t="str">
        <f>IF(AB12="","",VLOOKUP(AB12,'11. Lists'!$F$36:$H$38,2,FALSE))</f>
        <v>Low Strategic Significance</v>
      </c>
      <c r="AD12" s="580">
        <f>IF(AB12="","",VLOOKUP(AB12,'11. Lists'!$F$36:$H$38,3,FALSE))</f>
        <v>1</v>
      </c>
      <c r="AE12" s="778">
        <f t="shared" si="4"/>
        <v>0</v>
      </c>
      <c r="AF12" s="779">
        <f t="shared" si="5"/>
        <v>0.13478479999999998</v>
      </c>
      <c r="AG12" s="582">
        <f t="shared" si="6"/>
        <v>0</v>
      </c>
      <c r="AH12" s="579" t="str">
        <f>IF(T12="","",VLOOKUP(T12,'11. Lists'!$B$47:$D$49,3,FALSE))</f>
        <v>Same broad habitat or a higher distinctiveness habitat required</v>
      </c>
      <c r="AI12" s="580" t="str">
        <f>IF(D12="","",VLOOKUP(D12,'10. Condition and Temporal'!$B$6:$L$103,4,FALSE))</f>
        <v>Native hedgerow with trees</v>
      </c>
    </row>
    <row r="13" spans="1:35" s="520" customFormat="1" ht="28.9" customHeight="1" x14ac:dyDescent="0.25">
      <c r="B13" s="744">
        <v>3</v>
      </c>
      <c r="C13" s="1029" t="s">
        <v>238</v>
      </c>
      <c r="D13" s="290"/>
      <c r="E13" s="289"/>
      <c r="F13" s="200"/>
      <c r="G13" s="199"/>
      <c r="H13" s="198"/>
      <c r="I13" s="785"/>
      <c r="J13" s="786"/>
      <c r="K13" s="787"/>
      <c r="L13" s="774" t="str">
        <f t="shared" si="0"/>
        <v/>
      </c>
      <c r="M13" s="781" t="str">
        <f t="shared" si="1"/>
        <v/>
      </c>
      <c r="N13" s="770" t="str">
        <f t="shared" si="2"/>
        <v/>
      </c>
      <c r="O13" s="766"/>
      <c r="P13" s="499"/>
      <c r="R13" s="410"/>
      <c r="T13" s="363" t="str">
        <f>IF(D13="","",VLOOKUP(D13,'9. All Habitats + Multipliers'!$C$4:$K$102,5,FALSE))</f>
        <v/>
      </c>
      <c r="U13" s="362"/>
      <c r="V13" s="824" t="str">
        <f>IF(T13="","",VLOOKUP(T13,'11. Lists'!$S$47:$U$50,2,FALSE))</f>
        <v/>
      </c>
      <c r="W13" s="579" t="str">
        <f>IF(D13="","",VLOOKUP(D13,'10. Condition and Temporal'!$B$6:$C$103,2,FALSE))</f>
        <v/>
      </c>
      <c r="X13" s="580" t="str">
        <f>IF(W13="","",VLOOKUP(W13,'11. Lists'!$F$47:$G$51,2,FALSE))</f>
        <v/>
      </c>
      <c r="Y13" s="534"/>
      <c r="Z13" s="534"/>
      <c r="AA13" s="534"/>
      <c r="AB13" s="669" t="str">
        <f t="shared" si="3"/>
        <v/>
      </c>
      <c r="AC13" s="581" t="str">
        <f>IF(AB13="","",VLOOKUP(AB13,'11. Lists'!$F$36:$H$38,2,FALSE))</f>
        <v/>
      </c>
      <c r="AD13" s="580" t="str">
        <f>IF(AB13="","",VLOOKUP(AB13,'11. Lists'!$F$36:$H$38,3,FALSE))</f>
        <v/>
      </c>
      <c r="AE13" s="778" t="str">
        <f t="shared" si="4"/>
        <v/>
      </c>
      <c r="AF13" s="779" t="str">
        <f t="shared" si="5"/>
        <v/>
      </c>
      <c r="AG13" s="582" t="str">
        <f t="shared" si="6"/>
        <v/>
      </c>
      <c r="AH13" s="579" t="str">
        <f>IF(T13="","",VLOOKUP(T13,'11. Lists'!$B$47:$D$49,3,FALSE))</f>
        <v/>
      </c>
      <c r="AI13" s="580" t="str">
        <f>IF(D13="","",VLOOKUP(D13,'10. Condition and Temporal'!$B$6:$L$103,4,FALSE))</f>
        <v/>
      </c>
    </row>
    <row r="14" spans="1:35" s="520" customFormat="1" ht="28.9" customHeight="1" x14ac:dyDescent="0.25">
      <c r="B14" s="744">
        <v>4</v>
      </c>
      <c r="C14" s="1029" t="s">
        <v>238</v>
      </c>
      <c r="D14" s="290"/>
      <c r="E14" s="289"/>
      <c r="F14" s="200"/>
      <c r="G14" s="199"/>
      <c r="H14" s="198"/>
      <c r="I14" s="785"/>
      <c r="J14" s="786"/>
      <c r="K14" s="787"/>
      <c r="L14" s="774" t="str">
        <f t="shared" si="0"/>
        <v/>
      </c>
      <c r="M14" s="781" t="str">
        <f t="shared" si="1"/>
        <v/>
      </c>
      <c r="N14" s="770" t="str">
        <f t="shared" si="2"/>
        <v/>
      </c>
      <c r="O14" s="554"/>
      <c r="P14" s="499"/>
      <c r="R14" s="410"/>
      <c r="T14" s="363" t="str">
        <f>IF(D14="","",VLOOKUP(D14,'9. All Habitats + Multipliers'!$C$4:$K$102,5,FALSE))</f>
        <v/>
      </c>
      <c r="U14" s="362"/>
      <c r="V14" s="824" t="str">
        <f>IF(T14="","",VLOOKUP(T14,'11. Lists'!$S$47:$U$50,2,FALSE))</f>
        <v/>
      </c>
      <c r="W14" s="579" t="str">
        <f>IF(D14="","",VLOOKUP(D14,'10. Condition and Temporal'!$B$6:$C$103,2,FALSE))</f>
        <v/>
      </c>
      <c r="X14" s="580" t="str">
        <f>IF(W14="","",VLOOKUP(W14,'11. Lists'!$F$47:$G$51,2,FALSE))</f>
        <v/>
      </c>
      <c r="Y14" s="534"/>
      <c r="Z14" s="534"/>
      <c r="AA14" s="534"/>
      <c r="AB14" s="669" t="str">
        <f t="shared" si="3"/>
        <v/>
      </c>
      <c r="AC14" s="581" t="str">
        <f>IF(AB14="","",VLOOKUP(AB14,'11. Lists'!$F$36:$H$38,2,FALSE))</f>
        <v/>
      </c>
      <c r="AD14" s="580" t="str">
        <f>IF(AB14="","",VLOOKUP(AB14,'11. Lists'!$F$36:$H$38,3,FALSE))</f>
        <v/>
      </c>
      <c r="AE14" s="778" t="str">
        <f t="shared" si="4"/>
        <v/>
      </c>
      <c r="AF14" s="779" t="str">
        <f t="shared" si="5"/>
        <v/>
      </c>
      <c r="AG14" s="582" t="str">
        <f t="shared" si="6"/>
        <v/>
      </c>
      <c r="AH14" s="579" t="str">
        <f>IF(T14="","",VLOOKUP(T14,'11. Lists'!$B$47:$D$49,3,FALSE))</f>
        <v/>
      </c>
      <c r="AI14" s="580" t="str">
        <f>IF(D14="","",VLOOKUP(D14,'10. Condition and Temporal'!$B$6:$L$103,4,FALSE))</f>
        <v/>
      </c>
    </row>
    <row r="15" spans="1:35" s="520" customFormat="1" ht="28.9" customHeight="1" x14ac:dyDescent="0.25">
      <c r="B15" s="744">
        <v>5</v>
      </c>
      <c r="C15" s="1029" t="s">
        <v>238</v>
      </c>
      <c r="D15" s="290"/>
      <c r="E15" s="289"/>
      <c r="F15" s="366"/>
      <c r="G15" s="365"/>
      <c r="H15" s="364"/>
      <c r="I15" s="785"/>
      <c r="J15" s="786"/>
      <c r="K15" s="787"/>
      <c r="L15" s="774" t="str">
        <f t="shared" si="0"/>
        <v/>
      </c>
      <c r="M15" s="781" t="str">
        <f t="shared" si="1"/>
        <v/>
      </c>
      <c r="N15" s="770" t="str">
        <f t="shared" si="2"/>
        <v/>
      </c>
      <c r="O15" s="554"/>
      <c r="P15" s="499"/>
      <c r="R15" s="410"/>
      <c r="T15" s="363" t="str">
        <f>IF(D15="","",VLOOKUP(D15,'9. All Habitats + Multipliers'!$C$4:$K$102,5,FALSE))</f>
        <v/>
      </c>
      <c r="U15" s="362"/>
      <c r="V15" s="824" t="str">
        <f>IF(T15="","",VLOOKUP(T15,'11. Lists'!$S$47:$U$50,2,FALSE))</f>
        <v/>
      </c>
      <c r="W15" s="579" t="str">
        <f>IF(D15="","",VLOOKUP(D15,'10. Condition and Temporal'!$B$6:$C$103,2,FALSE))</f>
        <v/>
      </c>
      <c r="X15" s="580" t="str">
        <f>IF(W15="","",VLOOKUP(W15,'11. Lists'!$F$47:$G$51,2,FALSE))</f>
        <v/>
      </c>
      <c r="Y15" s="534"/>
      <c r="Z15" s="534"/>
      <c r="AA15" s="534"/>
      <c r="AB15" s="669" t="str">
        <f t="shared" si="3"/>
        <v/>
      </c>
      <c r="AC15" s="581" t="str">
        <f>IF(AB15="","",VLOOKUP(AB15,'11. Lists'!$F$36:$H$38,2,FALSE))</f>
        <v/>
      </c>
      <c r="AD15" s="580" t="str">
        <f>IF(AB15="","",VLOOKUP(AB15,'11. Lists'!$F$36:$H$38,3,FALSE))</f>
        <v/>
      </c>
      <c r="AE15" s="778" t="str">
        <f t="shared" si="4"/>
        <v/>
      </c>
      <c r="AF15" s="779" t="str">
        <f t="shared" si="5"/>
        <v/>
      </c>
      <c r="AG15" s="582" t="str">
        <f t="shared" si="6"/>
        <v/>
      </c>
      <c r="AH15" s="579" t="str">
        <f>IF(T15="","",VLOOKUP(T15,'11. Lists'!$B$47:$D$49,3,FALSE))</f>
        <v/>
      </c>
      <c r="AI15" s="580" t="str">
        <f>IF(D15="","",VLOOKUP(D15,'10. Condition and Temporal'!$B$6:$L$103,4,FALSE))</f>
        <v/>
      </c>
    </row>
    <row r="16" spans="1:35" s="520" customFormat="1" ht="28.9" customHeight="1" x14ac:dyDescent="0.25">
      <c r="B16" s="744">
        <v>6</v>
      </c>
      <c r="C16" s="1029" t="s">
        <v>238</v>
      </c>
      <c r="D16" s="290"/>
      <c r="E16" s="289"/>
      <c r="F16" s="366"/>
      <c r="G16" s="365"/>
      <c r="H16" s="364"/>
      <c r="I16" s="785"/>
      <c r="J16" s="786"/>
      <c r="K16" s="787"/>
      <c r="L16" s="774" t="str">
        <f t="shared" si="0"/>
        <v/>
      </c>
      <c r="M16" s="781" t="str">
        <f t="shared" si="1"/>
        <v/>
      </c>
      <c r="N16" s="770" t="str">
        <f t="shared" si="2"/>
        <v/>
      </c>
      <c r="O16" s="554"/>
      <c r="P16" s="499"/>
      <c r="R16" s="410"/>
      <c r="T16" s="363" t="str">
        <f>IF(D16="","",VLOOKUP(D16,'9. All Habitats + Multipliers'!$C$4:$K$102,5,FALSE))</f>
        <v/>
      </c>
      <c r="U16" s="362"/>
      <c r="V16" s="824" t="str">
        <f>IF(T16="","",VLOOKUP(T16,'11. Lists'!$S$47:$U$50,2,FALSE))</f>
        <v/>
      </c>
      <c r="W16" s="579" t="str">
        <f>IF(D16="","",VLOOKUP(D16,'10. Condition and Temporal'!$B$6:$C$103,2,FALSE))</f>
        <v/>
      </c>
      <c r="X16" s="580" t="str">
        <f>IF(W16="","",VLOOKUP(W16,'11. Lists'!$F$47:$G$51,2,FALSE))</f>
        <v/>
      </c>
      <c r="Y16" s="534"/>
      <c r="Z16" s="534"/>
      <c r="AA16" s="534"/>
      <c r="AB16" s="669" t="str">
        <f t="shared" si="3"/>
        <v/>
      </c>
      <c r="AC16" s="581" t="str">
        <f>IF(AB16="","",VLOOKUP(AB16,'11. Lists'!$F$36:$H$38,2,FALSE))</f>
        <v/>
      </c>
      <c r="AD16" s="580" t="str">
        <f>IF(AB16="","",VLOOKUP(AB16,'11. Lists'!$F$36:$H$38,3,FALSE))</f>
        <v/>
      </c>
      <c r="AE16" s="778" t="str">
        <f t="shared" si="4"/>
        <v/>
      </c>
      <c r="AF16" s="779" t="str">
        <f t="shared" si="5"/>
        <v/>
      </c>
      <c r="AG16" s="582" t="str">
        <f t="shared" si="6"/>
        <v/>
      </c>
      <c r="AH16" s="579" t="str">
        <f>IF(T16="","",VLOOKUP(T16,'11. Lists'!$B$47:$D$49,3,FALSE))</f>
        <v/>
      </c>
      <c r="AI16" s="580" t="str">
        <f>IF(D16="","",VLOOKUP(D16,'10. Condition and Temporal'!$B$6:$L$103,4,FALSE))</f>
        <v/>
      </c>
    </row>
    <row r="17" spans="2:35" s="520" customFormat="1" ht="28.9" customHeight="1" x14ac:dyDescent="0.25">
      <c r="B17" s="744">
        <v>7</v>
      </c>
      <c r="C17" s="1029" t="s">
        <v>238</v>
      </c>
      <c r="D17" s="290"/>
      <c r="E17" s="289"/>
      <c r="F17" s="366"/>
      <c r="G17" s="365"/>
      <c r="H17" s="364"/>
      <c r="I17" s="785"/>
      <c r="J17" s="786"/>
      <c r="K17" s="787"/>
      <c r="L17" s="774" t="str">
        <f t="shared" si="0"/>
        <v/>
      </c>
      <c r="M17" s="781" t="str">
        <f t="shared" si="1"/>
        <v/>
      </c>
      <c r="N17" s="770" t="str">
        <f t="shared" si="2"/>
        <v/>
      </c>
      <c r="O17" s="554"/>
      <c r="P17" s="499"/>
      <c r="R17" s="410"/>
      <c r="T17" s="363" t="str">
        <f>IF(D17="","",VLOOKUP(D17,'9. All Habitats + Multipliers'!$C$4:$K$102,5,FALSE))</f>
        <v/>
      </c>
      <c r="U17" s="362"/>
      <c r="V17" s="824" t="str">
        <f>IF(T17="","",VLOOKUP(T17,'11. Lists'!$S$47:$U$50,2,FALSE))</f>
        <v/>
      </c>
      <c r="W17" s="579" t="str">
        <f>IF(D17="","",VLOOKUP(D17,'10. Condition and Temporal'!$B$6:$C$103,2,FALSE))</f>
        <v/>
      </c>
      <c r="X17" s="580" t="str">
        <f>IF(W17="","",VLOOKUP(W17,'11. Lists'!$F$47:$G$51,2,FALSE))</f>
        <v/>
      </c>
      <c r="Y17" s="534"/>
      <c r="Z17" s="534"/>
      <c r="AA17" s="534"/>
      <c r="AB17" s="669" t="str">
        <f t="shared" si="3"/>
        <v/>
      </c>
      <c r="AC17" s="581" t="str">
        <f>IF(AB17="","",VLOOKUP(AB17,'11. Lists'!$F$36:$H$38,2,FALSE))</f>
        <v/>
      </c>
      <c r="AD17" s="580" t="str">
        <f>IF(AB17="","",VLOOKUP(AB17,'11. Lists'!$F$36:$H$38,3,FALSE))</f>
        <v/>
      </c>
      <c r="AE17" s="778" t="str">
        <f t="shared" si="4"/>
        <v/>
      </c>
      <c r="AF17" s="779" t="str">
        <f t="shared" si="5"/>
        <v/>
      </c>
      <c r="AG17" s="582" t="str">
        <f t="shared" si="6"/>
        <v/>
      </c>
      <c r="AH17" s="579" t="str">
        <f>IF(T17="","",VLOOKUP(T17,'11. Lists'!$B$47:$D$49,3,FALSE))</f>
        <v/>
      </c>
      <c r="AI17" s="580" t="str">
        <f>IF(D17="","",VLOOKUP(D17,'10. Condition and Temporal'!$B$6:$L$103,4,FALSE))</f>
        <v/>
      </c>
    </row>
    <row r="18" spans="2:35" s="520" customFormat="1" ht="28.9" customHeight="1" x14ac:dyDescent="0.25">
      <c r="B18" s="744">
        <v>8</v>
      </c>
      <c r="C18" s="1029" t="s">
        <v>238</v>
      </c>
      <c r="D18" s="290"/>
      <c r="E18" s="289"/>
      <c r="F18" s="366"/>
      <c r="G18" s="365"/>
      <c r="H18" s="364"/>
      <c r="I18" s="785"/>
      <c r="J18" s="786"/>
      <c r="K18" s="787"/>
      <c r="L18" s="774" t="str">
        <f t="shared" si="0"/>
        <v/>
      </c>
      <c r="M18" s="781" t="str">
        <f t="shared" si="1"/>
        <v/>
      </c>
      <c r="N18" s="770" t="str">
        <f t="shared" si="2"/>
        <v/>
      </c>
      <c r="O18" s="554"/>
      <c r="P18" s="499"/>
      <c r="R18" s="410"/>
      <c r="T18" s="363" t="str">
        <f>IF(D18="","",VLOOKUP(D18,'9. All Habitats + Multipliers'!$C$4:$K$102,5,FALSE))</f>
        <v/>
      </c>
      <c r="U18" s="362"/>
      <c r="V18" s="824" t="str">
        <f>IF(T18="","",VLOOKUP(T18,'11. Lists'!$S$47:$U$50,2,FALSE))</f>
        <v/>
      </c>
      <c r="W18" s="579" t="str">
        <f>IF(D18="","",VLOOKUP(D18,'10. Condition and Temporal'!$B$6:$C$103,2,FALSE))</f>
        <v/>
      </c>
      <c r="X18" s="580" t="str">
        <f>IF(W18="","",VLOOKUP(W18,'11. Lists'!$F$47:$G$51,2,FALSE))</f>
        <v/>
      </c>
      <c r="Y18" s="534"/>
      <c r="Z18" s="534"/>
      <c r="AA18" s="534"/>
      <c r="AB18" s="669" t="str">
        <f t="shared" si="3"/>
        <v/>
      </c>
      <c r="AC18" s="581" t="str">
        <f>IF(AB18="","",VLOOKUP(AB18,'11. Lists'!$F$36:$H$38,2,FALSE))</f>
        <v/>
      </c>
      <c r="AD18" s="580" t="str">
        <f>IF(AB18="","",VLOOKUP(AB18,'11. Lists'!$F$36:$H$38,3,FALSE))</f>
        <v/>
      </c>
      <c r="AE18" s="778" t="str">
        <f t="shared" si="4"/>
        <v/>
      </c>
      <c r="AF18" s="779" t="str">
        <f t="shared" si="5"/>
        <v/>
      </c>
      <c r="AG18" s="582" t="str">
        <f t="shared" si="6"/>
        <v/>
      </c>
      <c r="AH18" s="579" t="str">
        <f>IF(T18="","",VLOOKUP(T18,'11. Lists'!$B$47:$D$49,3,FALSE))</f>
        <v/>
      </c>
      <c r="AI18" s="580" t="str">
        <f>IF(D18="","",VLOOKUP(D18,'10. Condition and Temporal'!$B$6:$L$103,4,FALSE))</f>
        <v/>
      </c>
    </row>
    <row r="19" spans="2:35" s="520" customFormat="1" ht="28.9" customHeight="1" x14ac:dyDescent="0.25">
      <c r="B19" s="744">
        <v>9</v>
      </c>
      <c r="C19" s="1029" t="s">
        <v>238</v>
      </c>
      <c r="D19" s="290"/>
      <c r="E19" s="289"/>
      <c r="F19" s="366"/>
      <c r="G19" s="365"/>
      <c r="H19" s="364"/>
      <c r="I19" s="785"/>
      <c r="J19" s="786"/>
      <c r="K19" s="787"/>
      <c r="L19" s="774" t="str">
        <f t="shared" si="0"/>
        <v/>
      </c>
      <c r="M19" s="781" t="str">
        <f t="shared" si="1"/>
        <v/>
      </c>
      <c r="N19" s="770" t="str">
        <f t="shared" si="2"/>
        <v/>
      </c>
      <c r="O19" s="554"/>
      <c r="P19" s="499"/>
      <c r="R19" s="410"/>
      <c r="T19" s="363" t="str">
        <f>IF(D19="","",VLOOKUP(D19,'9. All Habitats + Multipliers'!$C$4:$K$102,5,FALSE))</f>
        <v/>
      </c>
      <c r="U19" s="362"/>
      <c r="V19" s="824" t="str">
        <f>IF(T19="","",VLOOKUP(T19,'11. Lists'!$S$47:$U$50,2,FALSE))</f>
        <v/>
      </c>
      <c r="W19" s="579" t="str">
        <f>IF(D19="","",VLOOKUP(D19,'10. Condition and Temporal'!$B$6:$C$103,2,FALSE))</f>
        <v/>
      </c>
      <c r="X19" s="580" t="str">
        <f>IF(W19="","",VLOOKUP(W19,'11. Lists'!$F$47:$G$51,2,FALSE))</f>
        <v/>
      </c>
      <c r="Y19" s="534"/>
      <c r="Z19" s="534"/>
      <c r="AA19" s="534"/>
      <c r="AB19" s="669" t="str">
        <f t="shared" si="3"/>
        <v/>
      </c>
      <c r="AC19" s="581" t="str">
        <f>IF(AB19="","",VLOOKUP(AB19,'11. Lists'!$F$36:$H$38,2,FALSE))</f>
        <v/>
      </c>
      <c r="AD19" s="580" t="str">
        <f>IF(AB19="","",VLOOKUP(AB19,'11. Lists'!$F$36:$H$38,3,FALSE))</f>
        <v/>
      </c>
      <c r="AE19" s="778" t="str">
        <f t="shared" si="4"/>
        <v/>
      </c>
      <c r="AF19" s="779" t="str">
        <f t="shared" si="5"/>
        <v/>
      </c>
      <c r="AG19" s="582" t="str">
        <f t="shared" si="6"/>
        <v/>
      </c>
      <c r="AH19" s="579" t="str">
        <f>IF(T19="","",VLOOKUP(T19,'11. Lists'!$B$47:$D$49,3,FALSE))</f>
        <v/>
      </c>
      <c r="AI19" s="580" t="str">
        <f>IF(D19="","",VLOOKUP(D19,'10. Condition and Temporal'!$B$6:$L$103,4,FALSE))</f>
        <v/>
      </c>
    </row>
    <row r="20" spans="2:35" s="520" customFormat="1" ht="28.9" customHeight="1" x14ac:dyDescent="0.25">
      <c r="B20" s="744">
        <v>10</v>
      </c>
      <c r="C20" s="1030" t="s">
        <v>238</v>
      </c>
      <c r="D20" s="290"/>
      <c r="E20" s="289"/>
      <c r="F20" s="366"/>
      <c r="G20" s="365"/>
      <c r="H20" s="364"/>
      <c r="I20" s="785"/>
      <c r="J20" s="786"/>
      <c r="K20" s="787"/>
      <c r="L20" s="774" t="str">
        <f t="shared" si="0"/>
        <v/>
      </c>
      <c r="M20" s="781" t="str">
        <f t="shared" si="1"/>
        <v/>
      </c>
      <c r="N20" s="770" t="str">
        <f t="shared" si="2"/>
        <v/>
      </c>
      <c r="O20" s="555"/>
      <c r="P20" s="504"/>
      <c r="R20" s="410"/>
      <c r="T20" s="363" t="str">
        <f>IF(D20="","",VLOOKUP(D20,'9. All Habitats + Multipliers'!$C$4:$K$102,5,FALSE))</f>
        <v/>
      </c>
      <c r="U20" s="362"/>
      <c r="V20" s="824" t="str">
        <f>IF(T20="","",VLOOKUP(T20,'11. Lists'!$S$47:$U$50,2,FALSE))</f>
        <v/>
      </c>
      <c r="W20" s="579" t="str">
        <f>IF(D20="","",VLOOKUP(D20,'10. Condition and Temporal'!$B$6:$C$103,2,FALSE))</f>
        <v/>
      </c>
      <c r="X20" s="580" t="str">
        <f>IF(W20="","",VLOOKUP(W20,'11. Lists'!$F$47:$G$51,2,FALSE))</f>
        <v/>
      </c>
      <c r="Y20" s="534"/>
      <c r="Z20" s="534"/>
      <c r="AA20" s="534"/>
      <c r="AB20" s="669" t="str">
        <f t="shared" si="3"/>
        <v/>
      </c>
      <c r="AC20" s="581" t="str">
        <f>IF(AB20="","",VLOOKUP(AB20,'11. Lists'!$F$36:$H$38,2,FALSE))</f>
        <v/>
      </c>
      <c r="AD20" s="580" t="str">
        <f>IF(AB20="","",VLOOKUP(AB20,'11. Lists'!$F$36:$H$38,3,FALSE))</f>
        <v/>
      </c>
      <c r="AE20" s="778" t="str">
        <f t="shared" si="4"/>
        <v/>
      </c>
      <c r="AF20" s="779" t="str">
        <f t="shared" si="5"/>
        <v/>
      </c>
      <c r="AG20" s="582" t="str">
        <f t="shared" si="6"/>
        <v/>
      </c>
      <c r="AH20" s="579" t="str">
        <f>IF(T20="","",VLOOKUP(T20,'11. Lists'!$B$47:$D$49,3,FALSE))</f>
        <v/>
      </c>
      <c r="AI20" s="580" t="str">
        <f>IF(D20="","",VLOOKUP(D20,'10. Condition and Temporal'!$B$6:$L$103,4,FALSE))</f>
        <v/>
      </c>
    </row>
    <row r="21" spans="2:35" s="520" customFormat="1" ht="28.9" customHeight="1" x14ac:dyDescent="0.25">
      <c r="B21" s="744">
        <v>11</v>
      </c>
      <c r="C21" s="1029" t="s">
        <v>238</v>
      </c>
      <c r="D21" s="290"/>
      <c r="E21" s="289"/>
      <c r="F21" s="366"/>
      <c r="G21" s="365"/>
      <c r="H21" s="364"/>
      <c r="I21" s="785"/>
      <c r="J21" s="786"/>
      <c r="K21" s="787"/>
      <c r="L21" s="774" t="str">
        <f t="shared" si="0"/>
        <v/>
      </c>
      <c r="M21" s="781" t="str">
        <f t="shared" si="1"/>
        <v/>
      </c>
      <c r="N21" s="770" t="str">
        <f t="shared" si="2"/>
        <v/>
      </c>
      <c r="O21" s="555"/>
      <c r="P21" s="504"/>
      <c r="R21" s="410"/>
      <c r="T21" s="363" t="str">
        <f>IF(D21="","",VLOOKUP(D21,'9. All Habitats + Multipliers'!$C$4:$K$102,5,FALSE))</f>
        <v/>
      </c>
      <c r="U21" s="362"/>
      <c r="V21" s="824" t="str">
        <f>IF(T21="","",VLOOKUP(T21,'11. Lists'!$S$47:$U$50,2,FALSE))</f>
        <v/>
      </c>
      <c r="W21" s="579" t="str">
        <f>IF(D21="","",VLOOKUP(D21,'10. Condition and Temporal'!$B$6:$C$103,2,FALSE))</f>
        <v/>
      </c>
      <c r="X21" s="580" t="str">
        <f>IF(W21="","",VLOOKUP(W21,'11. Lists'!$F$47:$G$51,2,FALSE))</f>
        <v/>
      </c>
      <c r="Y21" s="534"/>
      <c r="Z21" s="534"/>
      <c r="AA21" s="534"/>
      <c r="AB21" s="669" t="str">
        <f t="shared" si="3"/>
        <v/>
      </c>
      <c r="AC21" s="581" t="str">
        <f>IF(AB21="","",VLOOKUP(AB21,'11. Lists'!$F$36:$H$38,2,FALSE))</f>
        <v/>
      </c>
      <c r="AD21" s="580" t="str">
        <f>IF(AB21="","",VLOOKUP(AB21,'11. Lists'!$F$36:$H$38,3,FALSE))</f>
        <v/>
      </c>
      <c r="AE21" s="778" t="str">
        <f t="shared" si="4"/>
        <v/>
      </c>
      <c r="AF21" s="779" t="str">
        <f t="shared" si="5"/>
        <v/>
      </c>
      <c r="AG21" s="582" t="str">
        <f t="shared" si="6"/>
        <v/>
      </c>
      <c r="AH21" s="579" t="str">
        <f>IF(T21="","",VLOOKUP(T21,'11. Lists'!$B$47:$D$49,3,FALSE))</f>
        <v/>
      </c>
      <c r="AI21" s="580" t="str">
        <f>IF(D21="","",VLOOKUP(D21,'10. Condition and Temporal'!$B$6:$L$103,4,FALSE))</f>
        <v/>
      </c>
    </row>
    <row r="22" spans="2:35" s="520" customFormat="1" ht="28.9" customHeight="1" x14ac:dyDescent="0.25">
      <c r="B22" s="744">
        <v>12</v>
      </c>
      <c r="C22" s="1029" t="s">
        <v>238</v>
      </c>
      <c r="D22" s="290"/>
      <c r="E22" s="289"/>
      <c r="F22" s="366"/>
      <c r="G22" s="365"/>
      <c r="H22" s="364"/>
      <c r="I22" s="785"/>
      <c r="J22" s="786"/>
      <c r="K22" s="787"/>
      <c r="L22" s="774" t="str">
        <f t="shared" si="0"/>
        <v/>
      </c>
      <c r="M22" s="781" t="str">
        <f t="shared" si="1"/>
        <v/>
      </c>
      <c r="N22" s="770" t="str">
        <f t="shared" si="2"/>
        <v/>
      </c>
      <c r="O22" s="555"/>
      <c r="P22" s="504"/>
      <c r="R22" s="410"/>
      <c r="T22" s="363" t="str">
        <f>IF(D22="","",VLOOKUP(D22,'9. All Habitats + Multipliers'!$C$4:$K$102,5,FALSE))</f>
        <v/>
      </c>
      <c r="U22" s="362"/>
      <c r="V22" s="824" t="str">
        <f>IF(T22="","",VLOOKUP(T22,'11. Lists'!$S$47:$U$50,2,FALSE))</f>
        <v/>
      </c>
      <c r="W22" s="579" t="str">
        <f>IF(D22="","",VLOOKUP(D22,'10. Condition and Temporal'!$B$6:$C$103,2,FALSE))</f>
        <v/>
      </c>
      <c r="X22" s="580" t="str">
        <f>IF(W22="","",VLOOKUP(W22,'11. Lists'!$F$47:$G$51,2,FALSE))</f>
        <v/>
      </c>
      <c r="Y22" s="534"/>
      <c r="Z22" s="534"/>
      <c r="AA22" s="534"/>
      <c r="AB22" s="669" t="str">
        <f t="shared" si="3"/>
        <v/>
      </c>
      <c r="AC22" s="581" t="str">
        <f>IF(AB22="","",VLOOKUP(AB22,'11. Lists'!$F$36:$H$38,2,FALSE))</f>
        <v/>
      </c>
      <c r="AD22" s="580" t="str">
        <f>IF(AB22="","",VLOOKUP(AB22,'11. Lists'!$F$36:$H$38,3,FALSE))</f>
        <v/>
      </c>
      <c r="AE22" s="778" t="str">
        <f t="shared" si="4"/>
        <v/>
      </c>
      <c r="AF22" s="779" t="str">
        <f t="shared" si="5"/>
        <v/>
      </c>
      <c r="AG22" s="582" t="str">
        <f t="shared" si="6"/>
        <v/>
      </c>
      <c r="AH22" s="579" t="str">
        <f>IF(T22="","",VLOOKUP(T22,'11. Lists'!$B$47:$D$49,3,FALSE))</f>
        <v/>
      </c>
      <c r="AI22" s="580" t="str">
        <f>IF(D22="","",VLOOKUP(D22,'10. Condition and Temporal'!$B$6:$L$103,4,FALSE))</f>
        <v/>
      </c>
    </row>
    <row r="23" spans="2:35" s="520" customFormat="1" ht="28.9" customHeight="1" x14ac:dyDescent="0.25">
      <c r="B23" s="744">
        <v>13</v>
      </c>
      <c r="C23" s="1029" t="s">
        <v>238</v>
      </c>
      <c r="D23" s="290"/>
      <c r="E23" s="289"/>
      <c r="F23" s="366"/>
      <c r="G23" s="365"/>
      <c r="H23" s="364"/>
      <c r="I23" s="785"/>
      <c r="J23" s="786"/>
      <c r="K23" s="787"/>
      <c r="L23" s="774" t="str">
        <f t="shared" si="0"/>
        <v/>
      </c>
      <c r="M23" s="781" t="str">
        <f t="shared" si="1"/>
        <v/>
      </c>
      <c r="N23" s="770" t="str">
        <f t="shared" si="2"/>
        <v/>
      </c>
      <c r="O23" s="555"/>
      <c r="P23" s="504"/>
      <c r="R23" s="410"/>
      <c r="T23" s="363" t="str">
        <f>IF(D23="","",VLOOKUP(D23,'9. All Habitats + Multipliers'!$C$4:$K$102,5,FALSE))</f>
        <v/>
      </c>
      <c r="U23" s="362"/>
      <c r="V23" s="824" t="str">
        <f>IF(T23="","",VLOOKUP(T23,'11. Lists'!$S$47:$U$50,2,FALSE))</f>
        <v/>
      </c>
      <c r="W23" s="579" t="str">
        <f>IF(D23="","",VLOOKUP(D23,'10. Condition and Temporal'!$B$6:$C$103,2,FALSE))</f>
        <v/>
      </c>
      <c r="X23" s="580" t="str">
        <f>IF(W23="","",VLOOKUP(W23,'11. Lists'!$F$47:$G$51,2,FALSE))</f>
        <v/>
      </c>
      <c r="Y23" s="534"/>
      <c r="Z23" s="534"/>
      <c r="AA23" s="534"/>
      <c r="AB23" s="669" t="str">
        <f t="shared" si="3"/>
        <v/>
      </c>
      <c r="AC23" s="581" t="str">
        <f>IF(AB23="","",VLOOKUP(AB23,'11. Lists'!$F$36:$H$38,2,FALSE))</f>
        <v/>
      </c>
      <c r="AD23" s="580" t="str">
        <f>IF(AB23="","",VLOOKUP(AB23,'11. Lists'!$F$36:$H$38,3,FALSE))</f>
        <v/>
      </c>
      <c r="AE23" s="778" t="str">
        <f t="shared" si="4"/>
        <v/>
      </c>
      <c r="AF23" s="779" t="str">
        <f t="shared" si="5"/>
        <v/>
      </c>
      <c r="AG23" s="582" t="str">
        <f t="shared" si="6"/>
        <v/>
      </c>
      <c r="AH23" s="579" t="str">
        <f>IF(T23="","",VLOOKUP(T23,'11. Lists'!$B$47:$D$49,3,FALSE))</f>
        <v/>
      </c>
      <c r="AI23" s="580" t="str">
        <f>IF(D23="","",VLOOKUP(D23,'10. Condition and Temporal'!$B$6:$L$103,4,FALSE))</f>
        <v/>
      </c>
    </row>
    <row r="24" spans="2:35" s="520" customFormat="1" ht="28.9" customHeight="1" x14ac:dyDescent="0.25">
      <c r="B24" s="744">
        <v>14</v>
      </c>
      <c r="C24" s="1029" t="s">
        <v>238</v>
      </c>
      <c r="D24" s="290"/>
      <c r="E24" s="289"/>
      <c r="F24" s="366"/>
      <c r="G24" s="365"/>
      <c r="H24" s="364"/>
      <c r="I24" s="785"/>
      <c r="J24" s="786"/>
      <c r="K24" s="787"/>
      <c r="L24" s="774" t="str">
        <f t="shared" si="0"/>
        <v/>
      </c>
      <c r="M24" s="781" t="str">
        <f t="shared" si="1"/>
        <v/>
      </c>
      <c r="N24" s="770" t="str">
        <f t="shared" si="2"/>
        <v/>
      </c>
      <c r="O24" s="555"/>
      <c r="P24" s="504"/>
      <c r="R24" s="410"/>
      <c r="T24" s="363" t="str">
        <f>IF(D24="","",VLOOKUP(D24,'9. All Habitats + Multipliers'!$C$4:$K$102,5,FALSE))</f>
        <v/>
      </c>
      <c r="U24" s="362"/>
      <c r="V24" s="824" t="str">
        <f>IF(T24="","",VLOOKUP(T24,'11. Lists'!$S$47:$U$50,2,FALSE))</f>
        <v/>
      </c>
      <c r="W24" s="579" t="str">
        <f>IF(D24="","",VLOOKUP(D24,'10. Condition and Temporal'!$B$6:$C$103,2,FALSE))</f>
        <v/>
      </c>
      <c r="X24" s="580" t="str">
        <f>IF(W24="","",VLOOKUP(W24,'11. Lists'!$F$47:$G$51,2,FALSE))</f>
        <v/>
      </c>
      <c r="Y24" s="534"/>
      <c r="Z24" s="534"/>
      <c r="AA24" s="534"/>
      <c r="AB24" s="669" t="str">
        <f t="shared" si="3"/>
        <v/>
      </c>
      <c r="AC24" s="581" t="str">
        <f>IF(AB24="","",VLOOKUP(AB24,'11. Lists'!$F$36:$H$38,2,FALSE))</f>
        <v/>
      </c>
      <c r="AD24" s="580" t="str">
        <f>IF(AB24="","",VLOOKUP(AB24,'11. Lists'!$F$36:$H$38,3,FALSE))</f>
        <v/>
      </c>
      <c r="AE24" s="778" t="str">
        <f t="shared" si="4"/>
        <v/>
      </c>
      <c r="AF24" s="779" t="str">
        <f t="shared" si="5"/>
        <v/>
      </c>
      <c r="AG24" s="582" t="str">
        <f t="shared" si="6"/>
        <v/>
      </c>
      <c r="AH24" s="579" t="str">
        <f>IF(T24="","",VLOOKUP(T24,'11. Lists'!$B$47:$D$49,3,FALSE))</f>
        <v/>
      </c>
      <c r="AI24" s="580" t="str">
        <f>IF(D24="","",VLOOKUP(D24,'10. Condition and Temporal'!$B$6:$L$103,4,FALSE))</f>
        <v/>
      </c>
    </row>
    <row r="25" spans="2:35" s="520" customFormat="1" ht="28.9" customHeight="1" x14ac:dyDescent="0.25">
      <c r="B25" s="744">
        <v>15</v>
      </c>
      <c r="C25" s="1029" t="s">
        <v>238</v>
      </c>
      <c r="D25" s="290"/>
      <c r="E25" s="289"/>
      <c r="F25" s="366"/>
      <c r="G25" s="365"/>
      <c r="H25" s="364"/>
      <c r="I25" s="785"/>
      <c r="J25" s="786"/>
      <c r="K25" s="787"/>
      <c r="L25" s="774" t="str">
        <f t="shared" si="0"/>
        <v/>
      </c>
      <c r="M25" s="781" t="str">
        <f t="shared" si="1"/>
        <v/>
      </c>
      <c r="N25" s="770" t="str">
        <f t="shared" si="2"/>
        <v/>
      </c>
      <c r="O25" s="555"/>
      <c r="P25" s="504"/>
      <c r="R25" s="410"/>
      <c r="T25" s="363" t="str">
        <f>IF(D25="","",VLOOKUP(D25,'9. All Habitats + Multipliers'!$C$4:$K$102,5,FALSE))</f>
        <v/>
      </c>
      <c r="U25" s="362"/>
      <c r="V25" s="824" t="str">
        <f>IF(T25="","",VLOOKUP(T25,'11. Lists'!$S$47:$U$50,2,FALSE))</f>
        <v/>
      </c>
      <c r="W25" s="579" t="str">
        <f>IF(D25="","",VLOOKUP(D25,'10. Condition and Temporal'!$B$6:$C$103,2,FALSE))</f>
        <v/>
      </c>
      <c r="X25" s="580" t="str">
        <f>IF(W25="","",VLOOKUP(W25,'11. Lists'!$F$47:$G$51,2,FALSE))</f>
        <v/>
      </c>
      <c r="Y25" s="534"/>
      <c r="Z25" s="534"/>
      <c r="AA25" s="534"/>
      <c r="AB25" s="669" t="str">
        <f t="shared" si="3"/>
        <v/>
      </c>
      <c r="AC25" s="581" t="str">
        <f>IF(AB25="","",VLOOKUP(AB25,'11. Lists'!$F$36:$H$38,2,FALSE))</f>
        <v/>
      </c>
      <c r="AD25" s="580" t="str">
        <f>IF(AB25="","",VLOOKUP(AB25,'11. Lists'!$F$36:$H$38,3,FALSE))</f>
        <v/>
      </c>
      <c r="AE25" s="778" t="str">
        <f t="shared" si="4"/>
        <v/>
      </c>
      <c r="AF25" s="779" t="str">
        <f t="shared" si="5"/>
        <v/>
      </c>
      <c r="AG25" s="582" t="str">
        <f t="shared" si="6"/>
        <v/>
      </c>
      <c r="AH25" s="579" t="str">
        <f>IF(T25="","",VLOOKUP(T25,'11. Lists'!$B$47:$D$49,3,FALSE))</f>
        <v/>
      </c>
      <c r="AI25" s="580" t="str">
        <f>IF(D25="","",VLOOKUP(D25,'10. Condition and Temporal'!$B$6:$L$103,4,FALSE))</f>
        <v/>
      </c>
    </row>
    <row r="26" spans="2:35" s="520" customFormat="1" ht="28.9" customHeight="1" x14ac:dyDescent="0.25">
      <c r="B26" s="744">
        <v>16</v>
      </c>
      <c r="C26" s="1029" t="s">
        <v>238</v>
      </c>
      <c r="D26" s="290"/>
      <c r="E26" s="289"/>
      <c r="F26" s="366"/>
      <c r="G26" s="365"/>
      <c r="H26" s="364"/>
      <c r="I26" s="785"/>
      <c r="J26" s="786"/>
      <c r="K26" s="787"/>
      <c r="L26" s="774" t="str">
        <f t="shared" si="0"/>
        <v/>
      </c>
      <c r="M26" s="781" t="str">
        <f t="shared" si="1"/>
        <v/>
      </c>
      <c r="N26" s="770" t="str">
        <f t="shared" si="2"/>
        <v/>
      </c>
      <c r="O26" s="555"/>
      <c r="P26" s="504"/>
      <c r="R26" s="410"/>
      <c r="T26" s="363" t="str">
        <f>IF(D26="","",VLOOKUP(D26,'9. All Habitats + Multipliers'!$C$4:$K$102,5,FALSE))</f>
        <v/>
      </c>
      <c r="U26" s="362"/>
      <c r="V26" s="824" t="str">
        <f>IF(T26="","",VLOOKUP(T26,'11. Lists'!$S$47:$U$50,2,FALSE))</f>
        <v/>
      </c>
      <c r="W26" s="579" t="str">
        <f>IF(D26="","",VLOOKUP(D26,'10. Condition and Temporal'!$B$6:$C$103,2,FALSE))</f>
        <v/>
      </c>
      <c r="X26" s="580" t="str">
        <f>IF(W26="","",VLOOKUP(W26,'11. Lists'!$F$47:$G$51,2,FALSE))</f>
        <v/>
      </c>
      <c r="Y26" s="534"/>
      <c r="Z26" s="534"/>
      <c r="AA26" s="534"/>
      <c r="AB26" s="669" t="str">
        <f t="shared" si="3"/>
        <v/>
      </c>
      <c r="AC26" s="581" t="str">
        <f>IF(AB26="","",VLOOKUP(AB26,'11. Lists'!$F$36:$H$38,2,FALSE))</f>
        <v/>
      </c>
      <c r="AD26" s="580" t="str">
        <f>IF(AB26="","",VLOOKUP(AB26,'11. Lists'!$F$36:$H$38,3,FALSE))</f>
        <v/>
      </c>
      <c r="AE26" s="778" t="str">
        <f t="shared" si="4"/>
        <v/>
      </c>
      <c r="AF26" s="779" t="str">
        <f t="shared" si="5"/>
        <v/>
      </c>
      <c r="AG26" s="582" t="str">
        <f t="shared" si="6"/>
        <v/>
      </c>
      <c r="AH26" s="579" t="str">
        <f>IF(T26="","",VLOOKUP(T26,'11. Lists'!$B$47:$D$49,3,FALSE))</f>
        <v/>
      </c>
      <c r="AI26" s="580" t="str">
        <f>IF(D26="","",VLOOKUP(D26,'10. Condition and Temporal'!$B$6:$L$103,4,FALSE))</f>
        <v/>
      </c>
    </row>
    <row r="27" spans="2:35" s="520" customFormat="1" ht="28.9" customHeight="1" x14ac:dyDescent="0.25">
      <c r="B27" s="744">
        <v>17</v>
      </c>
      <c r="C27" s="1029" t="s">
        <v>238</v>
      </c>
      <c r="D27" s="290"/>
      <c r="E27" s="289"/>
      <c r="F27" s="366"/>
      <c r="G27" s="365"/>
      <c r="H27" s="364"/>
      <c r="I27" s="785"/>
      <c r="J27" s="786"/>
      <c r="K27" s="787"/>
      <c r="L27" s="774" t="str">
        <f t="shared" si="0"/>
        <v/>
      </c>
      <c r="M27" s="781" t="str">
        <f t="shared" si="1"/>
        <v/>
      </c>
      <c r="N27" s="770" t="str">
        <f t="shared" si="2"/>
        <v/>
      </c>
      <c r="O27" s="555"/>
      <c r="P27" s="504"/>
      <c r="R27" s="410"/>
      <c r="T27" s="363" t="str">
        <f>IF(D27="","",VLOOKUP(D27,'9. All Habitats + Multipliers'!$C$4:$K$102,5,FALSE))</f>
        <v/>
      </c>
      <c r="U27" s="362"/>
      <c r="V27" s="824" t="str">
        <f>IF(T27="","",VLOOKUP(T27,'11. Lists'!$S$47:$U$50,2,FALSE))</f>
        <v/>
      </c>
      <c r="W27" s="579" t="str">
        <f>IF(D27="","",VLOOKUP(D27,'10. Condition and Temporal'!$B$6:$C$103,2,FALSE))</f>
        <v/>
      </c>
      <c r="X27" s="580" t="str">
        <f>IF(W27="","",VLOOKUP(W27,'11. Lists'!$F$47:$G$51,2,FALSE))</f>
        <v/>
      </c>
      <c r="Y27" s="534"/>
      <c r="Z27" s="534"/>
      <c r="AA27" s="534"/>
      <c r="AB27" s="669" t="str">
        <f t="shared" si="3"/>
        <v/>
      </c>
      <c r="AC27" s="581" t="str">
        <f>IF(AB27="","",VLOOKUP(AB27,'11. Lists'!$F$36:$H$38,2,FALSE))</f>
        <v/>
      </c>
      <c r="AD27" s="580" t="str">
        <f>IF(AB27="","",VLOOKUP(AB27,'11. Lists'!$F$36:$H$38,3,FALSE))</f>
        <v/>
      </c>
      <c r="AE27" s="778" t="str">
        <f t="shared" si="4"/>
        <v/>
      </c>
      <c r="AF27" s="779" t="str">
        <f t="shared" si="5"/>
        <v/>
      </c>
      <c r="AG27" s="582" t="str">
        <f t="shared" si="6"/>
        <v/>
      </c>
      <c r="AH27" s="579" t="str">
        <f>IF(T27="","",VLOOKUP(T27,'11. Lists'!$B$47:$D$49,3,FALSE))</f>
        <v/>
      </c>
      <c r="AI27" s="580" t="str">
        <f>IF(D27="","",VLOOKUP(D27,'10. Condition and Temporal'!$B$6:$L$103,4,FALSE))</f>
        <v/>
      </c>
    </row>
    <row r="28" spans="2:35" s="520" customFormat="1" ht="28.9" customHeight="1" x14ac:dyDescent="0.25">
      <c r="B28" s="744">
        <v>18</v>
      </c>
      <c r="C28" s="1029" t="s">
        <v>238</v>
      </c>
      <c r="D28" s="290"/>
      <c r="E28" s="289"/>
      <c r="F28" s="366"/>
      <c r="G28" s="365"/>
      <c r="H28" s="364"/>
      <c r="I28" s="785"/>
      <c r="J28" s="786"/>
      <c r="K28" s="787"/>
      <c r="L28" s="774" t="str">
        <f t="shared" si="0"/>
        <v/>
      </c>
      <c r="M28" s="781" t="str">
        <f t="shared" si="1"/>
        <v/>
      </c>
      <c r="N28" s="770" t="str">
        <f t="shared" si="2"/>
        <v/>
      </c>
      <c r="O28" s="555"/>
      <c r="P28" s="504"/>
      <c r="R28" s="410"/>
      <c r="T28" s="363" t="str">
        <f>IF(D28="","",VLOOKUP(D28,'9. All Habitats + Multipliers'!$C$4:$K$102,5,FALSE))</f>
        <v/>
      </c>
      <c r="U28" s="362"/>
      <c r="V28" s="824" t="str">
        <f>IF(T28="","",VLOOKUP(T28,'11. Lists'!$S$47:$U$50,2,FALSE))</f>
        <v/>
      </c>
      <c r="W28" s="579" t="str">
        <f>IF(D28="","",VLOOKUP(D28,'10. Condition and Temporal'!$B$6:$C$103,2,FALSE))</f>
        <v/>
      </c>
      <c r="X28" s="580" t="str">
        <f>IF(W28="","",VLOOKUP(W28,'11. Lists'!$F$47:$G$51,2,FALSE))</f>
        <v/>
      </c>
      <c r="Y28" s="534"/>
      <c r="Z28" s="534"/>
      <c r="AA28" s="534"/>
      <c r="AB28" s="669" t="str">
        <f t="shared" si="3"/>
        <v/>
      </c>
      <c r="AC28" s="581" t="str">
        <f>IF(AB28="","",VLOOKUP(AB28,'11. Lists'!$F$36:$H$38,2,FALSE))</f>
        <v/>
      </c>
      <c r="AD28" s="580" t="str">
        <f>IF(AB28="","",VLOOKUP(AB28,'11. Lists'!$F$36:$H$38,3,FALSE))</f>
        <v/>
      </c>
      <c r="AE28" s="778" t="str">
        <f t="shared" si="4"/>
        <v/>
      </c>
      <c r="AF28" s="779" t="str">
        <f t="shared" si="5"/>
        <v/>
      </c>
      <c r="AG28" s="582" t="str">
        <f t="shared" si="6"/>
        <v/>
      </c>
      <c r="AH28" s="579" t="str">
        <f>IF(T28="","",VLOOKUP(T28,'11. Lists'!$B$47:$D$49,3,FALSE))</f>
        <v/>
      </c>
      <c r="AI28" s="580" t="str">
        <f>IF(D28="","",VLOOKUP(D28,'10. Condition and Temporal'!$B$6:$L$103,4,FALSE))</f>
        <v/>
      </c>
    </row>
    <row r="29" spans="2:35" s="520" customFormat="1" ht="28.9" customHeight="1" x14ac:dyDescent="0.25">
      <c r="B29" s="744">
        <v>19</v>
      </c>
      <c r="C29" s="1031" t="s">
        <v>238</v>
      </c>
      <c r="D29" s="290"/>
      <c r="E29" s="289"/>
      <c r="F29" s="366"/>
      <c r="G29" s="365"/>
      <c r="H29" s="364"/>
      <c r="I29" s="785"/>
      <c r="J29" s="786"/>
      <c r="K29" s="787"/>
      <c r="L29" s="774" t="str">
        <f t="shared" si="0"/>
        <v/>
      </c>
      <c r="M29" s="781" t="str">
        <f t="shared" si="1"/>
        <v/>
      </c>
      <c r="N29" s="770" t="str">
        <f t="shared" si="2"/>
        <v/>
      </c>
      <c r="O29" s="555"/>
      <c r="P29" s="504"/>
      <c r="R29" s="410"/>
      <c r="T29" s="363" t="str">
        <f>IF(D29="","",VLOOKUP(D29,'9. All Habitats + Multipliers'!$C$4:$K$102,5,FALSE))</f>
        <v/>
      </c>
      <c r="U29" s="362"/>
      <c r="V29" s="824" t="str">
        <f>IF(T29="","",VLOOKUP(T29,'11. Lists'!$S$47:$U$50,2,FALSE))</f>
        <v/>
      </c>
      <c r="W29" s="579" t="str">
        <f>IF(D29="","",VLOOKUP(D29,'10. Condition and Temporal'!$B$6:$C$103,2,FALSE))</f>
        <v/>
      </c>
      <c r="X29" s="580" t="str">
        <f>IF(W29="","",VLOOKUP(W29,'11. Lists'!$F$47:$G$51,2,FALSE))</f>
        <v/>
      </c>
      <c r="Y29" s="534"/>
      <c r="Z29" s="534"/>
      <c r="AA29" s="534"/>
      <c r="AB29" s="669" t="str">
        <f t="shared" si="3"/>
        <v/>
      </c>
      <c r="AC29" s="581" t="str">
        <f>IF(AB29="","",VLOOKUP(AB29,'11. Lists'!$F$36:$H$38,2,FALSE))</f>
        <v/>
      </c>
      <c r="AD29" s="580" t="str">
        <f>IF(AB29="","",VLOOKUP(AB29,'11. Lists'!$F$36:$H$38,3,FALSE))</f>
        <v/>
      </c>
      <c r="AE29" s="778" t="str">
        <f t="shared" si="4"/>
        <v/>
      </c>
      <c r="AF29" s="779" t="str">
        <f t="shared" si="5"/>
        <v/>
      </c>
      <c r="AG29" s="582" t="str">
        <f t="shared" si="6"/>
        <v/>
      </c>
      <c r="AH29" s="579" t="str">
        <f>IF(T29="","",VLOOKUP(T29,'11. Lists'!$B$47:$D$49,3,FALSE))</f>
        <v/>
      </c>
      <c r="AI29" s="580" t="str">
        <f>IF(D29="","",VLOOKUP(D29,'10. Condition and Temporal'!$B$6:$L$103,4,FALSE))</f>
        <v/>
      </c>
    </row>
    <row r="30" spans="2:35" s="520" customFormat="1" ht="29.45" customHeight="1" x14ac:dyDescent="0.25">
      <c r="B30" s="745">
        <v>20</v>
      </c>
      <c r="C30" s="1032" t="s">
        <v>238</v>
      </c>
      <c r="D30" s="288"/>
      <c r="E30" s="287"/>
      <c r="F30" s="197"/>
      <c r="G30" s="196"/>
      <c r="H30" s="195"/>
      <c r="I30" s="788"/>
      <c r="J30" s="789"/>
      <c r="K30" s="790"/>
      <c r="L30" s="772" t="str">
        <f t="shared" si="0"/>
        <v/>
      </c>
      <c r="M30" s="795" t="str">
        <f t="shared" si="1"/>
        <v/>
      </c>
      <c r="N30" s="773" t="str">
        <f t="shared" si="2"/>
        <v/>
      </c>
      <c r="O30" s="556"/>
      <c r="P30" s="500"/>
      <c r="R30" s="410"/>
      <c r="T30" s="363" t="str">
        <f>IF(D30="","",VLOOKUP(D30,'9. All Habitats + Multipliers'!$C$4:$K$102,5,FALSE))</f>
        <v/>
      </c>
      <c r="U30" s="362"/>
      <c r="V30" s="824" t="str">
        <f>IF(T30="","",VLOOKUP(T30,'11. Lists'!$S$47:$U$50,2,FALSE))</f>
        <v/>
      </c>
      <c r="W30" s="584" t="str">
        <f>IF(D30="","",VLOOKUP(D30,'10. Condition and Temporal'!$B$6:$C$103,2,FALSE))</f>
        <v/>
      </c>
      <c r="X30" s="585" t="str">
        <f>IF(W30="","",VLOOKUP(W30,'11. Lists'!$F$47:$G$51,2,FALSE))</f>
        <v/>
      </c>
      <c r="Y30" s="534"/>
      <c r="Z30" s="534"/>
      <c r="AA30" s="534"/>
      <c r="AB30" s="669" t="str">
        <f t="shared" si="3"/>
        <v/>
      </c>
      <c r="AC30" s="581" t="str">
        <f>IF(AB30="","",VLOOKUP(AB30,'11. Lists'!$F$36:$H$38,2,FALSE))</f>
        <v/>
      </c>
      <c r="AD30" s="580" t="str">
        <f>IF(AB30="","",VLOOKUP(AB30,'11. Lists'!$F$36:$H$38,3,FALSE))</f>
        <v/>
      </c>
      <c r="AE30" s="778" t="str">
        <f t="shared" si="4"/>
        <v/>
      </c>
      <c r="AF30" s="779" t="str">
        <f t="shared" si="5"/>
        <v/>
      </c>
      <c r="AG30" s="582" t="str">
        <f t="shared" si="6"/>
        <v/>
      </c>
      <c r="AH30" s="579" t="str">
        <f>IF(T30="","",VLOOKUP(T30,'11. Lists'!$B$47:$D$49,3,FALSE))</f>
        <v/>
      </c>
      <c r="AI30" s="580" t="str">
        <f>IF(D30="","",VLOOKUP(D30,'10. Condition and Temporal'!$B$6:$L$103,4,FALSE))</f>
        <v/>
      </c>
    </row>
    <row r="31" spans="2:35" s="520" customFormat="1" x14ac:dyDescent="0.25">
      <c r="D31" s="575"/>
      <c r="E31" s="589"/>
      <c r="F31" s="589"/>
      <c r="G31" s="589"/>
      <c r="H31" s="751" t="s">
        <v>239</v>
      </c>
      <c r="I31" s="791">
        <f t="shared" ref="I31:N31" si="7">SUM(I11:I30)</f>
        <v>43.205199999999998</v>
      </c>
      <c r="J31" s="792">
        <f t="shared" si="7"/>
        <v>26.357099999999999</v>
      </c>
      <c r="K31" s="793">
        <f t="shared" si="7"/>
        <v>16.848099999999999</v>
      </c>
      <c r="L31" s="759">
        <f t="shared" si="7"/>
        <v>0.24021319999999996</v>
      </c>
      <c r="M31" s="799">
        <f t="shared" si="7"/>
        <v>0</v>
      </c>
      <c r="N31" s="760">
        <f t="shared" si="7"/>
        <v>0</v>
      </c>
      <c r="R31" s="410"/>
    </row>
    <row r="32" spans="2:35" s="520" customFormat="1" x14ac:dyDescent="0.25">
      <c r="D32" s="575"/>
      <c r="E32" s="589"/>
      <c r="F32" s="589"/>
      <c r="G32" s="589"/>
      <c r="H32" s="769" t="s">
        <v>109</v>
      </c>
      <c r="I32" s="194" t="str">
        <f>IF(I31&lt;J31+K31,"Error - Lengths Retained and Enhanced Exceed Total Length ▲","Lengths Acceptable ✓")</f>
        <v>Lengths Acceptable ✓</v>
      </c>
      <c r="J32" s="194"/>
      <c r="K32" s="194"/>
      <c r="L32" s="194"/>
      <c r="M32" s="194"/>
      <c r="N32" s="193"/>
      <c r="O32" s="643">
        <f>IFERROR(FIND("Error",I32),0)</f>
        <v>0</v>
      </c>
      <c r="R32" s="590"/>
    </row>
    <row r="33" spans="2:34" s="520" customFormat="1" ht="15" customHeight="1" x14ac:dyDescent="0.25">
      <c r="D33" s="575"/>
      <c r="E33" s="589"/>
      <c r="F33" s="589"/>
      <c r="G33" s="589"/>
      <c r="H33" s="752" t="s">
        <v>110</v>
      </c>
      <c r="I33" s="192" t="str">
        <f>IF(I31&lt;5000,"Lengths Acceptable ✓",IF(I31&gt;=5000,"Length Exceeds Length Appropriate for Small Sites Metric ▲"))</f>
        <v>Lengths Acceptable ✓</v>
      </c>
      <c r="J33" s="192"/>
      <c r="K33" s="192"/>
      <c r="L33" s="192"/>
      <c r="M33" s="192"/>
      <c r="N33" s="191"/>
      <c r="O33" s="643">
        <f>COUNTIF(L11:N30,"*"&amp;"error"&amp;"*")</f>
        <v>0</v>
      </c>
      <c r="R33" s="590"/>
    </row>
    <row r="34" spans="2:34" s="520" customFormat="1" x14ac:dyDescent="0.25">
      <c r="D34" s="575"/>
      <c r="E34" s="589"/>
      <c r="F34" s="589"/>
      <c r="G34" s="589"/>
      <c r="H34" s="589"/>
      <c r="I34" s="589"/>
      <c r="J34" s="589"/>
      <c r="K34" s="589"/>
      <c r="L34" s="589"/>
      <c r="M34" s="589"/>
      <c r="N34" s="589"/>
      <c r="O34" s="589"/>
      <c r="R34" s="410" t="s">
        <v>67</v>
      </c>
    </row>
    <row r="35" spans="2:34" s="520" customFormat="1" ht="21" customHeight="1" x14ac:dyDescent="0.35">
      <c r="B35" s="543" t="s">
        <v>112</v>
      </c>
      <c r="D35" s="574"/>
      <c r="E35" s="589"/>
      <c r="F35" s="589"/>
      <c r="G35" s="589"/>
      <c r="I35" s="521"/>
      <c r="R35" s="410"/>
    </row>
    <row r="36" spans="2:34" s="520" customFormat="1" ht="15.75" customHeight="1" x14ac:dyDescent="0.25">
      <c r="R36" s="410"/>
    </row>
    <row r="37" spans="2:34" s="520" customFormat="1" ht="16.149999999999999" customHeight="1" x14ac:dyDescent="0.25">
      <c r="B37" s="395" t="s">
        <v>60</v>
      </c>
      <c r="C37" s="392"/>
      <c r="D37" s="344"/>
      <c r="E37" s="393" t="s">
        <v>113</v>
      </c>
      <c r="F37" s="343"/>
      <c r="G37" s="391"/>
      <c r="H37" s="343" t="s">
        <v>114</v>
      </c>
      <c r="I37" s="390" t="s">
        <v>240</v>
      </c>
      <c r="J37" s="389"/>
      <c r="K37" s="388"/>
      <c r="L37" s="393" t="s">
        <v>241</v>
      </c>
      <c r="M37" s="392"/>
      <c r="N37" s="391"/>
      <c r="O37" s="341" t="s">
        <v>80</v>
      </c>
      <c r="P37" s="391"/>
      <c r="R37" s="410"/>
      <c r="T37" s="381" t="s">
        <v>81</v>
      </c>
      <c r="U37" s="380"/>
      <c r="V37" s="208"/>
      <c r="W37" s="381" t="s">
        <v>82</v>
      </c>
      <c r="X37" s="379"/>
      <c r="Y37" s="377"/>
      <c r="Z37" s="377"/>
      <c r="AA37" s="377"/>
      <c r="AB37" s="378" t="s">
        <v>83</v>
      </c>
      <c r="AC37" s="380"/>
      <c r="AD37" s="379"/>
      <c r="AE37" s="381" t="s">
        <v>117</v>
      </c>
      <c r="AF37" s="379"/>
      <c r="AG37" s="381" t="s">
        <v>118</v>
      </c>
      <c r="AH37" s="379"/>
    </row>
    <row r="38" spans="2:34" s="520" customFormat="1" ht="31.9" customHeight="1" x14ac:dyDescent="0.25">
      <c r="B38" s="394"/>
      <c r="C38" s="682" t="s">
        <v>87</v>
      </c>
      <c r="D38" s="683" t="s">
        <v>119</v>
      </c>
      <c r="E38" s="572" t="s">
        <v>120</v>
      </c>
      <c r="F38" s="338" t="s">
        <v>121</v>
      </c>
      <c r="G38" s="337"/>
      <c r="H38" s="342"/>
      <c r="I38" s="387"/>
      <c r="J38" s="386"/>
      <c r="K38" s="385"/>
      <c r="L38" s="190"/>
      <c r="M38" s="189"/>
      <c r="N38" s="188"/>
      <c r="O38" s="681" t="s">
        <v>95</v>
      </c>
      <c r="P38" s="576" t="s">
        <v>96</v>
      </c>
      <c r="R38" s="410"/>
      <c r="T38" s="370" t="s">
        <v>97</v>
      </c>
      <c r="U38" s="369"/>
      <c r="V38" s="821" t="s">
        <v>98</v>
      </c>
      <c r="W38" s="577" t="s">
        <v>99</v>
      </c>
      <c r="X38" s="578" t="s">
        <v>98</v>
      </c>
      <c r="Y38" s="826"/>
      <c r="Z38" s="826"/>
      <c r="AA38" s="826"/>
      <c r="AB38" s="814" t="s">
        <v>83</v>
      </c>
      <c r="AC38" s="535" t="s">
        <v>83</v>
      </c>
      <c r="AD38" s="578" t="s">
        <v>100</v>
      </c>
      <c r="AE38" s="577" t="s">
        <v>122</v>
      </c>
      <c r="AF38" s="578" t="s">
        <v>123</v>
      </c>
      <c r="AG38" s="577" t="s">
        <v>124</v>
      </c>
      <c r="AH38" s="578" t="s">
        <v>125</v>
      </c>
    </row>
    <row r="39" spans="2:34" s="520" customFormat="1" ht="28.9" customHeight="1" x14ac:dyDescent="0.25">
      <c r="B39" s="743">
        <v>1</v>
      </c>
      <c r="C39" s="1029" t="s">
        <v>238</v>
      </c>
      <c r="D39" s="559"/>
      <c r="E39" s="591" t="str">
        <f>IF(D39="","",VLOOKUP(D39,'10. Condition and Temporal'!$B$6:$D$103,3,FALSE))</f>
        <v/>
      </c>
      <c r="F39" s="187"/>
      <c r="G39" s="186"/>
      <c r="H39" s="558"/>
      <c r="I39" s="334"/>
      <c r="J39" s="333"/>
      <c r="K39" s="333"/>
      <c r="L39" s="185" t="str">
        <f t="shared" ref="L39:L58" si="8">IF(D39="","",IFERROR(IF(I39="","",((I39/1000)*(V39*X39))*(AH39*AF39)*AD39),"This intervention is not permitted within the SSM ▲"))</f>
        <v/>
      </c>
      <c r="M39" s="184"/>
      <c r="N39" s="183"/>
      <c r="O39" s="690"/>
      <c r="P39" s="497"/>
      <c r="Q39" s="592"/>
      <c r="R39" s="410"/>
      <c r="T39" s="363" t="str">
        <f>IF(D39="","",VLOOKUP(D39,'9. All Habitats + Multipliers'!$C$4:$K$102,5,FALSE))</f>
        <v/>
      </c>
      <c r="U39" s="362"/>
      <c r="V39" s="824" t="str">
        <f>IF(T39="","",VLOOKUP(T39,'11. Lists'!$S$47:$U$50,2,FALSE))</f>
        <v/>
      </c>
      <c r="W39" s="579" t="str">
        <f t="shared" ref="W39:W58" si="9">IF(F39="","",F39)</f>
        <v/>
      </c>
      <c r="X39" s="580" t="str">
        <f>IF(W39="","",VLOOKUP(W39,'11. Lists'!$F$47:$G$51,2,FALSE))</f>
        <v/>
      </c>
      <c r="Y39" s="534"/>
      <c r="Z39" s="534"/>
      <c r="AA39" s="534"/>
      <c r="AB39" s="669" t="str">
        <f t="shared" ref="AB39:AB58" si="10">IF(H39="","",H39)</f>
        <v/>
      </c>
      <c r="AC39" s="581" t="str">
        <f>IF(AB39="","",VLOOKUP(AB39,'11. Lists'!$F$36:$H$38,2,FALSE))</f>
        <v/>
      </c>
      <c r="AD39" s="580" t="str">
        <f>IF(AB39="","",VLOOKUP(AB39,'11. Lists'!$F$36:$H$38,3,FALSE))</f>
        <v/>
      </c>
      <c r="AE39" s="579"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93" t="str">
        <f>IF(AE39="","",VLOOKUP(AE39,'11. Lists'!$I$47:$K$80,3,FALSE))</f>
        <v/>
      </c>
      <c r="AG39" s="579" t="str">
        <f>IF(D39="","",VLOOKUP(D39,'9. All Habitats + Multipliers'!$C$4:$K$102,7,FALSE))</f>
        <v/>
      </c>
      <c r="AH39" s="580" t="str">
        <f>IF(AG39="","",VLOOKUP(AG39,'11. Lists'!$J$35:$K$38,2,FALSE))</f>
        <v/>
      </c>
    </row>
    <row r="40" spans="2:34" s="520" customFormat="1" ht="28.9" customHeight="1" x14ac:dyDescent="0.25">
      <c r="B40" s="744">
        <v>2</v>
      </c>
      <c r="C40" s="1029" t="s">
        <v>238</v>
      </c>
      <c r="D40" s="559"/>
      <c r="E40" s="591" t="str">
        <f>IF(D40="","",VLOOKUP(D40,'10. Condition and Temporal'!$B$6:$D$103,3,FALSE))</f>
        <v/>
      </c>
      <c r="F40" s="182"/>
      <c r="G40" s="181"/>
      <c r="H40" s="557"/>
      <c r="I40" s="334"/>
      <c r="J40" s="333"/>
      <c r="K40" s="333"/>
      <c r="L40" s="180" t="str">
        <f t="shared" si="8"/>
        <v/>
      </c>
      <c r="M40" s="179"/>
      <c r="N40" s="178"/>
      <c r="O40" s="560"/>
      <c r="P40" s="508"/>
      <c r="Q40" s="592"/>
      <c r="R40" s="410"/>
      <c r="T40" s="363" t="str">
        <f>IF(D40="","",VLOOKUP(D40,'9. All Habitats + Multipliers'!$C$4:$K$102,5,FALSE))</f>
        <v/>
      </c>
      <c r="U40" s="362"/>
      <c r="V40" s="824" t="str">
        <f>IF(T40="","",VLOOKUP(T40,'11. Lists'!$S$47:$U$50,2,FALSE))</f>
        <v/>
      </c>
      <c r="W40" s="579" t="str">
        <f t="shared" si="9"/>
        <v/>
      </c>
      <c r="X40" s="580" t="str">
        <f>IF(W40="","",VLOOKUP(W40,'11. Lists'!$F$47:$G$51,2,FALSE))</f>
        <v/>
      </c>
      <c r="Y40" s="534"/>
      <c r="Z40" s="534"/>
      <c r="AA40" s="534"/>
      <c r="AB40" s="669" t="str">
        <f t="shared" si="10"/>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row>
    <row r="41" spans="2:34" s="520" customFormat="1" ht="28.9" customHeight="1" x14ac:dyDescent="0.25">
      <c r="B41" s="744">
        <v>3</v>
      </c>
      <c r="C41" s="1029" t="s">
        <v>238</v>
      </c>
      <c r="D41" s="559"/>
      <c r="E41" s="591" t="str">
        <f>IF(D41="","",VLOOKUP(D41,'10. Condition and Temporal'!$B$6:$D$103,3,FALSE))</f>
        <v/>
      </c>
      <c r="F41" s="182"/>
      <c r="G41" s="181"/>
      <c r="H41" s="557"/>
      <c r="I41" s="334"/>
      <c r="J41" s="333"/>
      <c r="K41" s="333"/>
      <c r="L41" s="180" t="str">
        <f t="shared" si="8"/>
        <v/>
      </c>
      <c r="M41" s="179"/>
      <c r="N41" s="178"/>
      <c r="O41" s="560"/>
      <c r="P41" s="508"/>
      <c r="Q41" s="592"/>
      <c r="R41" s="410"/>
      <c r="T41" s="363" t="str">
        <f>IF(D41="","",VLOOKUP(D41,'9. All Habitats + Multipliers'!$C$4:$K$102,5,FALSE))</f>
        <v/>
      </c>
      <c r="U41" s="362"/>
      <c r="V41" s="824" t="str">
        <f>IF(T41="","",VLOOKUP(T41,'11. Lists'!$S$47:$U$50,2,FALSE))</f>
        <v/>
      </c>
      <c r="W41" s="579" t="str">
        <f t="shared" si="9"/>
        <v/>
      </c>
      <c r="X41" s="580" t="str">
        <f>IF(W41="","",VLOOKUP(W41,'11. Lists'!$F$47:$G$51,2,FALSE))</f>
        <v/>
      </c>
      <c r="Y41" s="534"/>
      <c r="Z41" s="534"/>
      <c r="AA41" s="534"/>
      <c r="AB41" s="669" t="str">
        <f t="shared" si="10"/>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28.9" customHeight="1" x14ac:dyDescent="0.25">
      <c r="B42" s="744">
        <v>4</v>
      </c>
      <c r="C42" s="1029" t="s">
        <v>238</v>
      </c>
      <c r="D42" s="559"/>
      <c r="E42" s="591" t="str">
        <f>IF(D42="","",VLOOKUP(D42,'10. Condition and Temporal'!$B$6:$D$103,3,FALSE))</f>
        <v/>
      </c>
      <c r="F42" s="182"/>
      <c r="G42" s="181"/>
      <c r="H42" s="557"/>
      <c r="I42" s="334"/>
      <c r="J42" s="333"/>
      <c r="K42" s="333"/>
      <c r="L42" s="180" t="str">
        <f t="shared" si="8"/>
        <v/>
      </c>
      <c r="M42" s="179"/>
      <c r="N42" s="178"/>
      <c r="O42" s="560"/>
      <c r="P42" s="508"/>
      <c r="Q42" s="592"/>
      <c r="R42" s="410"/>
      <c r="T42" s="363" t="str">
        <f>IF(D42="","",VLOOKUP(D42,'9. All Habitats + Multipliers'!$C$4:$K$102,5,FALSE))</f>
        <v/>
      </c>
      <c r="U42" s="362"/>
      <c r="V42" s="824" t="str">
        <f>IF(T42="","",VLOOKUP(T42,'11. Lists'!$S$47:$U$50,2,FALSE))</f>
        <v/>
      </c>
      <c r="W42" s="579" t="str">
        <f t="shared" si="9"/>
        <v/>
      </c>
      <c r="X42" s="580" t="str">
        <f>IF(W42="","",VLOOKUP(W42,'11. Lists'!$F$47:$G$51,2,FALSE))</f>
        <v/>
      </c>
      <c r="Y42" s="534"/>
      <c r="Z42" s="534"/>
      <c r="AA42" s="534"/>
      <c r="AB42" s="669" t="str">
        <f t="shared" si="10"/>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28.9" customHeight="1" x14ac:dyDescent="0.25">
      <c r="B43" s="744">
        <v>5</v>
      </c>
      <c r="C43" s="1029" t="s">
        <v>238</v>
      </c>
      <c r="D43" s="559"/>
      <c r="E43" s="591" t="str">
        <f>IF(D43="","",VLOOKUP(D43,'10. Condition and Temporal'!$B$6:$D$103,3,FALSE))</f>
        <v/>
      </c>
      <c r="F43" s="182"/>
      <c r="G43" s="181"/>
      <c r="H43" s="557"/>
      <c r="I43" s="334"/>
      <c r="J43" s="333"/>
      <c r="K43" s="333"/>
      <c r="L43" s="180" t="str">
        <f t="shared" si="8"/>
        <v/>
      </c>
      <c r="M43" s="179"/>
      <c r="N43" s="178"/>
      <c r="O43" s="560"/>
      <c r="P43" s="508"/>
      <c r="R43" s="410"/>
      <c r="T43" s="363" t="str">
        <f>IF(D43="","",VLOOKUP(D43,'9. All Habitats + Multipliers'!$C$4:$K$102,5,FALSE))</f>
        <v/>
      </c>
      <c r="U43" s="362"/>
      <c r="V43" s="824" t="str">
        <f>IF(T43="","",VLOOKUP(T43,'11. Lists'!$S$47:$U$50,2,FALSE))</f>
        <v/>
      </c>
      <c r="W43" s="579" t="str">
        <f t="shared" si="9"/>
        <v/>
      </c>
      <c r="X43" s="580" t="str">
        <f>IF(W43="","",VLOOKUP(W43,'11. Lists'!$F$47:$G$51,2,FALSE))</f>
        <v/>
      </c>
      <c r="Y43" s="534"/>
      <c r="Z43" s="534"/>
      <c r="AA43" s="534"/>
      <c r="AB43" s="669" t="str">
        <f t="shared" si="10"/>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28.9" customHeight="1" x14ac:dyDescent="0.25">
      <c r="B44" s="744">
        <v>6</v>
      </c>
      <c r="C44" s="1029" t="s">
        <v>238</v>
      </c>
      <c r="D44" s="559"/>
      <c r="E44" s="591" t="str">
        <f>IF(D44="","",VLOOKUP(D44,'10. Condition and Temporal'!$B$6:$D$103,3,FALSE))</f>
        <v/>
      </c>
      <c r="F44" s="182"/>
      <c r="G44" s="181"/>
      <c r="H44" s="557"/>
      <c r="I44" s="334"/>
      <c r="J44" s="333"/>
      <c r="K44" s="333"/>
      <c r="L44" s="180" t="str">
        <f t="shared" si="8"/>
        <v/>
      </c>
      <c r="M44" s="179"/>
      <c r="N44" s="178"/>
      <c r="O44" s="560"/>
      <c r="P44" s="508"/>
      <c r="R44" s="410"/>
      <c r="T44" s="363" t="str">
        <f>IF(D44="","",VLOOKUP(D44,'9. All Habitats + Multipliers'!$C$4:$K$102,5,FALSE))</f>
        <v/>
      </c>
      <c r="U44" s="362"/>
      <c r="V44" s="824" t="str">
        <f>IF(T44="","",VLOOKUP(T44,'11. Lists'!$S$47:$U$50,2,FALSE))</f>
        <v/>
      </c>
      <c r="W44" s="579" t="str">
        <f t="shared" si="9"/>
        <v/>
      </c>
      <c r="X44" s="580" t="str">
        <f>IF(W44="","",VLOOKUP(W44,'11. Lists'!$F$47:$G$51,2,FALSE))</f>
        <v/>
      </c>
      <c r="Y44" s="534"/>
      <c r="Z44" s="534"/>
      <c r="AA44" s="534"/>
      <c r="AB44" s="669" t="str">
        <f t="shared" si="10"/>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28.9" customHeight="1" x14ac:dyDescent="0.25">
      <c r="B45" s="744">
        <v>7</v>
      </c>
      <c r="C45" s="1029" t="s">
        <v>238</v>
      </c>
      <c r="D45" s="559"/>
      <c r="E45" s="591" t="str">
        <f>IF(D45="","",VLOOKUP(D45,'10. Condition and Temporal'!$B$6:$D$103,3,FALSE))</f>
        <v/>
      </c>
      <c r="F45" s="182"/>
      <c r="G45" s="181"/>
      <c r="H45" s="557"/>
      <c r="I45" s="334"/>
      <c r="J45" s="333"/>
      <c r="K45" s="333"/>
      <c r="L45" s="180" t="str">
        <f t="shared" si="8"/>
        <v/>
      </c>
      <c r="M45" s="179"/>
      <c r="N45" s="178"/>
      <c r="O45" s="560"/>
      <c r="P45" s="508"/>
      <c r="R45" s="410"/>
      <c r="T45" s="363" t="str">
        <f>IF(D45="","",VLOOKUP(D45,'9. All Habitats + Multipliers'!$C$4:$K$102,5,FALSE))</f>
        <v/>
      </c>
      <c r="U45" s="362"/>
      <c r="V45" s="824" t="str">
        <f>IF(T45="","",VLOOKUP(T45,'11. Lists'!$S$47:$U$50,2,FALSE))</f>
        <v/>
      </c>
      <c r="W45" s="579" t="str">
        <f t="shared" si="9"/>
        <v/>
      </c>
      <c r="X45" s="580" t="str">
        <f>IF(W45="","",VLOOKUP(W45,'11. Lists'!$F$47:$G$51,2,FALSE))</f>
        <v/>
      </c>
      <c r="Y45" s="534"/>
      <c r="Z45" s="534"/>
      <c r="AA45" s="534"/>
      <c r="AB45" s="669" t="str">
        <f t="shared" si="10"/>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28.9" customHeight="1" x14ac:dyDescent="0.25">
      <c r="B46" s="744">
        <v>8</v>
      </c>
      <c r="C46" s="1029" t="s">
        <v>238</v>
      </c>
      <c r="D46" s="559"/>
      <c r="E46" s="591" t="str">
        <f>IF(D46="","",VLOOKUP(D46,'10. Condition and Temporal'!$B$6:$D$103,3,FALSE))</f>
        <v/>
      </c>
      <c r="F46" s="182"/>
      <c r="G46" s="181"/>
      <c r="H46" s="557"/>
      <c r="I46" s="334"/>
      <c r="J46" s="333"/>
      <c r="K46" s="333"/>
      <c r="L46" s="180" t="str">
        <f t="shared" si="8"/>
        <v/>
      </c>
      <c r="M46" s="179"/>
      <c r="N46" s="178"/>
      <c r="O46" s="560"/>
      <c r="P46" s="508"/>
      <c r="R46" s="410"/>
      <c r="T46" s="363" t="str">
        <f>IF(D46="","",VLOOKUP(D46,'9. All Habitats + Multipliers'!$C$4:$K$102,5,FALSE))</f>
        <v/>
      </c>
      <c r="U46" s="362"/>
      <c r="V46" s="824" t="str">
        <f>IF(T46="","",VLOOKUP(T46,'11. Lists'!$S$47:$U$50,2,FALSE))</f>
        <v/>
      </c>
      <c r="W46" s="579" t="str">
        <f t="shared" si="9"/>
        <v/>
      </c>
      <c r="X46" s="580" t="str">
        <f>IF(W46="","",VLOOKUP(W46,'11. Lists'!$F$47:$G$51,2,FALSE))</f>
        <v/>
      </c>
      <c r="Y46" s="534"/>
      <c r="Z46" s="534"/>
      <c r="AA46" s="534"/>
      <c r="AB46" s="669" t="str">
        <f t="shared" si="10"/>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28.9" customHeight="1" x14ac:dyDescent="0.25">
      <c r="B47" s="744">
        <v>9</v>
      </c>
      <c r="C47" s="1029" t="s">
        <v>238</v>
      </c>
      <c r="D47" s="559"/>
      <c r="E47" s="591" t="str">
        <f>IF(D47="","",VLOOKUP(D47,'10. Condition and Temporal'!$B$6:$D$103,3,FALSE))</f>
        <v/>
      </c>
      <c r="F47" s="182"/>
      <c r="G47" s="181"/>
      <c r="H47" s="557"/>
      <c r="I47" s="334"/>
      <c r="J47" s="333"/>
      <c r="K47" s="333"/>
      <c r="L47" s="180" t="str">
        <f t="shared" si="8"/>
        <v/>
      </c>
      <c r="M47" s="179"/>
      <c r="N47" s="178"/>
      <c r="O47" s="560"/>
      <c r="P47" s="508"/>
      <c r="R47" s="410"/>
      <c r="T47" s="363" t="str">
        <f>IF(D47="","",VLOOKUP(D47,'9. All Habitats + Multipliers'!$C$4:$K$102,5,FALSE))</f>
        <v/>
      </c>
      <c r="U47" s="362"/>
      <c r="V47" s="824" t="str">
        <f>IF(T47="","",VLOOKUP(T47,'11. Lists'!$S$47:$U$50,2,FALSE))</f>
        <v/>
      </c>
      <c r="W47" s="579" t="str">
        <f t="shared" si="9"/>
        <v/>
      </c>
      <c r="X47" s="580" t="str">
        <f>IF(W47="","",VLOOKUP(W47,'11. Lists'!$F$47:$G$51,2,FALSE))</f>
        <v/>
      </c>
      <c r="Y47" s="534"/>
      <c r="Z47" s="534"/>
      <c r="AA47" s="534"/>
      <c r="AB47" s="669" t="str">
        <f t="shared" si="10"/>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28.9" customHeight="1" x14ac:dyDescent="0.25">
      <c r="B48" s="744">
        <v>10</v>
      </c>
      <c r="C48" s="1030" t="s">
        <v>238</v>
      </c>
      <c r="D48" s="559"/>
      <c r="E48" s="591" t="str">
        <f>IF(D48="","",VLOOKUP(D48,'10. Condition and Temporal'!$B$6:$D$103,3,FALSE))</f>
        <v/>
      </c>
      <c r="F48" s="182"/>
      <c r="G48" s="181"/>
      <c r="H48" s="557"/>
      <c r="I48" s="334"/>
      <c r="J48" s="333"/>
      <c r="K48" s="333"/>
      <c r="L48" s="180" t="str">
        <f t="shared" si="8"/>
        <v/>
      </c>
      <c r="M48" s="179"/>
      <c r="N48" s="178"/>
      <c r="O48" s="560"/>
      <c r="P48" s="508"/>
      <c r="R48" s="410"/>
      <c r="T48" s="363" t="str">
        <f>IF(D48="","",VLOOKUP(D48,'9. All Habitats + Multipliers'!$C$4:$K$102,5,FALSE))</f>
        <v/>
      </c>
      <c r="U48" s="362"/>
      <c r="V48" s="824" t="str">
        <f>IF(T48="","",VLOOKUP(T48,'11. Lists'!$S$47:$U$50,2,FALSE))</f>
        <v/>
      </c>
      <c r="W48" s="579" t="str">
        <f t="shared" si="9"/>
        <v/>
      </c>
      <c r="X48" s="580" t="str">
        <f>IF(W48="","",VLOOKUP(W48,'11. Lists'!$F$47:$G$51,2,FALSE))</f>
        <v/>
      </c>
      <c r="Y48" s="534"/>
      <c r="Z48" s="534"/>
      <c r="AA48" s="534"/>
      <c r="AB48" s="669" t="str">
        <f t="shared" si="10"/>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1:73" s="520" customFormat="1" ht="28.9" customHeight="1" x14ac:dyDescent="0.25">
      <c r="B49" s="744">
        <v>11</v>
      </c>
      <c r="C49" s="1029" t="s">
        <v>238</v>
      </c>
      <c r="D49" s="559"/>
      <c r="E49" s="591" t="str">
        <f>IF(D49="","",VLOOKUP(D49,'10. Condition and Temporal'!$B$6:$D$103,3,FALSE))</f>
        <v/>
      </c>
      <c r="F49" s="182"/>
      <c r="G49" s="181"/>
      <c r="H49" s="557"/>
      <c r="I49" s="334"/>
      <c r="J49" s="333"/>
      <c r="K49" s="333"/>
      <c r="L49" s="180" t="str">
        <f t="shared" si="8"/>
        <v/>
      </c>
      <c r="M49" s="179"/>
      <c r="N49" s="178"/>
      <c r="O49" s="560"/>
      <c r="P49" s="508"/>
      <c r="R49" s="410"/>
      <c r="T49" s="363" t="str">
        <f>IF(D49="","",VLOOKUP(D49,'9. All Habitats + Multipliers'!$C$4:$K$102,5,FALSE))</f>
        <v/>
      </c>
      <c r="U49" s="362"/>
      <c r="V49" s="824" t="str">
        <f>IF(T49="","",VLOOKUP(T49,'11. Lists'!$S$47:$U$50,2,FALSE))</f>
        <v/>
      </c>
      <c r="W49" s="579" t="str">
        <f t="shared" si="9"/>
        <v/>
      </c>
      <c r="X49" s="580" t="str">
        <f>IF(W49="","",VLOOKUP(W49,'11. Lists'!$F$47:$G$51,2,FALSE))</f>
        <v/>
      </c>
      <c r="Y49" s="534"/>
      <c r="Z49" s="534"/>
      <c r="AA49" s="534"/>
      <c r="AB49" s="669" t="str">
        <f t="shared" si="10"/>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1:73" s="520" customFormat="1" ht="28.9" customHeight="1" x14ac:dyDescent="0.25">
      <c r="B50" s="744">
        <v>12</v>
      </c>
      <c r="C50" s="1029" t="s">
        <v>238</v>
      </c>
      <c r="D50" s="559"/>
      <c r="E50" s="591" t="str">
        <f>IF(D50="","",VLOOKUP(D50,'10. Condition and Temporal'!$B$6:$D$103,3,FALSE))</f>
        <v/>
      </c>
      <c r="F50" s="182"/>
      <c r="G50" s="181"/>
      <c r="H50" s="557"/>
      <c r="I50" s="334"/>
      <c r="J50" s="333"/>
      <c r="K50" s="333"/>
      <c r="L50" s="180" t="str">
        <f t="shared" si="8"/>
        <v/>
      </c>
      <c r="M50" s="179"/>
      <c r="N50" s="178"/>
      <c r="O50" s="560"/>
      <c r="P50" s="508"/>
      <c r="R50" s="410"/>
      <c r="T50" s="363" t="str">
        <f>IF(D50="","",VLOOKUP(D50,'9. All Habitats + Multipliers'!$C$4:$K$102,5,FALSE))</f>
        <v/>
      </c>
      <c r="U50" s="362"/>
      <c r="V50" s="824" t="str">
        <f>IF(T50="","",VLOOKUP(T50,'11. Lists'!$S$47:$U$50,2,FALSE))</f>
        <v/>
      </c>
      <c r="W50" s="579" t="str">
        <f t="shared" si="9"/>
        <v/>
      </c>
      <c r="X50" s="580" t="str">
        <f>IF(W50="","",VLOOKUP(W50,'11. Lists'!$F$47:$G$51,2,FALSE))</f>
        <v/>
      </c>
      <c r="Y50" s="534"/>
      <c r="Z50" s="534"/>
      <c r="AA50" s="534"/>
      <c r="AB50" s="669" t="str">
        <f t="shared" si="10"/>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1:73" s="520" customFormat="1" ht="28.9" customHeight="1" x14ac:dyDescent="0.25">
      <c r="B51" s="744">
        <v>13</v>
      </c>
      <c r="C51" s="1029" t="s">
        <v>238</v>
      </c>
      <c r="D51" s="559"/>
      <c r="E51" s="591" t="str">
        <f>IF(D51="","",VLOOKUP(D51,'10. Condition and Temporal'!$B$6:$D$103,3,FALSE))</f>
        <v/>
      </c>
      <c r="F51" s="182"/>
      <c r="G51" s="181"/>
      <c r="H51" s="557"/>
      <c r="I51" s="334"/>
      <c r="J51" s="333"/>
      <c r="K51" s="333"/>
      <c r="L51" s="180" t="str">
        <f t="shared" si="8"/>
        <v/>
      </c>
      <c r="M51" s="179"/>
      <c r="N51" s="178"/>
      <c r="O51" s="560"/>
      <c r="P51" s="508"/>
      <c r="R51" s="410"/>
      <c r="T51" s="363" t="str">
        <f>IF(D51="","",VLOOKUP(D51,'9. All Habitats + Multipliers'!$C$4:$K$102,5,FALSE))</f>
        <v/>
      </c>
      <c r="U51" s="362"/>
      <c r="V51" s="824" t="str">
        <f>IF(T51="","",VLOOKUP(T51,'11. Lists'!$S$47:$U$50,2,FALSE))</f>
        <v/>
      </c>
      <c r="W51" s="579" t="str">
        <f t="shared" si="9"/>
        <v/>
      </c>
      <c r="X51" s="580" t="str">
        <f>IF(W51="","",VLOOKUP(W51,'11. Lists'!$F$47:$G$51,2,FALSE))</f>
        <v/>
      </c>
      <c r="Y51" s="534"/>
      <c r="Z51" s="534"/>
      <c r="AA51" s="534"/>
      <c r="AB51" s="669" t="str">
        <f t="shared" si="10"/>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1:73" s="520" customFormat="1" ht="28.9" customHeight="1" x14ac:dyDescent="0.25">
      <c r="B52" s="744">
        <v>14</v>
      </c>
      <c r="C52" s="1029" t="s">
        <v>238</v>
      </c>
      <c r="D52" s="559"/>
      <c r="E52" s="591" t="str">
        <f>IF(D52="","",VLOOKUP(D52,'10. Condition and Temporal'!$B$6:$D$103,3,FALSE))</f>
        <v/>
      </c>
      <c r="F52" s="182"/>
      <c r="G52" s="181"/>
      <c r="H52" s="557"/>
      <c r="I52" s="334"/>
      <c r="J52" s="333"/>
      <c r="K52" s="333"/>
      <c r="L52" s="180" t="str">
        <f t="shared" si="8"/>
        <v/>
      </c>
      <c r="M52" s="179"/>
      <c r="N52" s="178"/>
      <c r="O52" s="560"/>
      <c r="P52" s="508"/>
      <c r="R52" s="410"/>
      <c r="T52" s="363" t="str">
        <f>IF(D52="","",VLOOKUP(D52,'9. All Habitats + Multipliers'!$C$4:$K$102,5,FALSE))</f>
        <v/>
      </c>
      <c r="U52" s="362"/>
      <c r="V52" s="824" t="str">
        <f>IF(T52="","",VLOOKUP(T52,'11. Lists'!$S$47:$U$50,2,FALSE))</f>
        <v/>
      </c>
      <c r="W52" s="579" t="str">
        <f t="shared" si="9"/>
        <v/>
      </c>
      <c r="X52" s="580" t="str">
        <f>IF(W52="","",VLOOKUP(W52,'11. Lists'!$F$47:$G$51,2,FALSE))</f>
        <v/>
      </c>
      <c r="Y52" s="534"/>
      <c r="Z52" s="534"/>
      <c r="AA52" s="534"/>
      <c r="AB52" s="669" t="str">
        <f t="shared" si="10"/>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1:73" s="520" customFormat="1" ht="28.9" customHeight="1" x14ac:dyDescent="0.25">
      <c r="B53" s="744">
        <v>15</v>
      </c>
      <c r="C53" s="1029" t="s">
        <v>238</v>
      </c>
      <c r="D53" s="559"/>
      <c r="E53" s="591" t="str">
        <f>IF(D53="","",VLOOKUP(D53,'10. Condition and Temporal'!$B$6:$D$103,3,FALSE))</f>
        <v/>
      </c>
      <c r="F53" s="182"/>
      <c r="G53" s="181"/>
      <c r="H53" s="557"/>
      <c r="I53" s="334"/>
      <c r="J53" s="333"/>
      <c r="K53" s="333"/>
      <c r="L53" s="180" t="str">
        <f t="shared" si="8"/>
        <v/>
      </c>
      <c r="M53" s="179"/>
      <c r="N53" s="178"/>
      <c r="O53" s="560"/>
      <c r="P53" s="508"/>
      <c r="R53" s="410"/>
      <c r="T53" s="363" t="str">
        <f>IF(D53="","",VLOOKUP(D53,'9. All Habitats + Multipliers'!$C$4:$K$102,5,FALSE))</f>
        <v/>
      </c>
      <c r="U53" s="362"/>
      <c r="V53" s="824" t="str">
        <f>IF(T53="","",VLOOKUP(T53,'11. Lists'!$S$47:$U$50,2,FALSE))</f>
        <v/>
      </c>
      <c r="W53" s="579" t="str">
        <f t="shared" si="9"/>
        <v/>
      </c>
      <c r="X53" s="580" t="str">
        <f>IF(W53="","",VLOOKUP(W53,'11. Lists'!$F$47:$G$51,2,FALSE))</f>
        <v/>
      </c>
      <c r="Y53" s="534"/>
      <c r="Z53" s="534"/>
      <c r="AA53" s="534"/>
      <c r="AB53" s="669" t="str">
        <f t="shared" si="10"/>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1:73" s="520" customFormat="1" ht="28.9" customHeight="1" x14ac:dyDescent="0.25">
      <c r="B54" s="744">
        <v>16</v>
      </c>
      <c r="C54" s="1029" t="s">
        <v>238</v>
      </c>
      <c r="D54" s="559"/>
      <c r="E54" s="591" t="str">
        <f>IF(D54="","",VLOOKUP(D54,'10. Condition and Temporal'!$B$6:$D$103,3,FALSE))</f>
        <v/>
      </c>
      <c r="F54" s="182"/>
      <c r="G54" s="181"/>
      <c r="H54" s="557"/>
      <c r="I54" s="334"/>
      <c r="J54" s="333"/>
      <c r="K54" s="333"/>
      <c r="L54" s="180" t="str">
        <f t="shared" si="8"/>
        <v/>
      </c>
      <c r="M54" s="179"/>
      <c r="N54" s="178"/>
      <c r="O54" s="560"/>
      <c r="P54" s="508"/>
      <c r="R54" s="410"/>
      <c r="T54" s="363" t="str">
        <f>IF(D54="","",VLOOKUP(D54,'9. All Habitats + Multipliers'!$C$4:$K$102,5,FALSE))</f>
        <v/>
      </c>
      <c r="U54" s="362"/>
      <c r="V54" s="824" t="str">
        <f>IF(T54="","",VLOOKUP(T54,'11. Lists'!$S$47:$U$50,2,FALSE))</f>
        <v/>
      </c>
      <c r="W54" s="579" t="str">
        <f t="shared" si="9"/>
        <v/>
      </c>
      <c r="X54" s="580" t="str">
        <f>IF(W54="","",VLOOKUP(W54,'11. Lists'!$F$47:$G$51,2,FALSE))</f>
        <v/>
      </c>
      <c r="Y54" s="534"/>
      <c r="Z54" s="534"/>
      <c r="AA54" s="534"/>
      <c r="AB54" s="669" t="str">
        <f t="shared" si="10"/>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1:73" s="520" customFormat="1" ht="28.9" customHeight="1" x14ac:dyDescent="0.25">
      <c r="B55" s="744">
        <v>17</v>
      </c>
      <c r="C55" s="1029" t="s">
        <v>238</v>
      </c>
      <c r="D55" s="559"/>
      <c r="E55" s="591" t="str">
        <f>IF(D55="","",VLOOKUP(D55,'10. Condition and Temporal'!$B$6:$D$103,3,FALSE))</f>
        <v/>
      </c>
      <c r="F55" s="182"/>
      <c r="G55" s="181"/>
      <c r="H55" s="557"/>
      <c r="I55" s="334"/>
      <c r="J55" s="333"/>
      <c r="K55" s="333"/>
      <c r="L55" s="180" t="str">
        <f t="shared" si="8"/>
        <v/>
      </c>
      <c r="M55" s="179"/>
      <c r="N55" s="178"/>
      <c r="O55" s="560"/>
      <c r="P55" s="508"/>
      <c r="R55" s="410"/>
      <c r="T55" s="363" t="str">
        <f>IF(D55="","",VLOOKUP(D55,'9. All Habitats + Multipliers'!$C$4:$K$102,5,FALSE))</f>
        <v/>
      </c>
      <c r="U55" s="362"/>
      <c r="V55" s="824" t="str">
        <f>IF(T55="","",VLOOKUP(T55,'11. Lists'!$S$47:$U$50,2,FALSE))</f>
        <v/>
      </c>
      <c r="W55" s="579" t="str">
        <f t="shared" si="9"/>
        <v/>
      </c>
      <c r="X55" s="580" t="str">
        <f>IF(W55="","",VLOOKUP(W55,'11. Lists'!$F$47:$G$51,2,FALSE))</f>
        <v/>
      </c>
      <c r="Y55" s="534"/>
      <c r="Z55" s="534"/>
      <c r="AA55" s="534"/>
      <c r="AB55" s="669" t="str">
        <f t="shared" si="10"/>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1:73" s="520" customFormat="1" ht="28.9" customHeight="1" x14ac:dyDescent="0.25">
      <c r="B56" s="744">
        <v>18</v>
      </c>
      <c r="C56" s="1029" t="s">
        <v>238</v>
      </c>
      <c r="D56" s="559"/>
      <c r="E56" s="591" t="str">
        <f>IF(D56="","",VLOOKUP(D56,'10. Condition and Temporal'!$B$6:$D$103,3,FALSE))</f>
        <v/>
      </c>
      <c r="F56" s="182"/>
      <c r="G56" s="181"/>
      <c r="H56" s="557"/>
      <c r="I56" s="334"/>
      <c r="J56" s="333"/>
      <c r="K56" s="333"/>
      <c r="L56" s="180" t="str">
        <f t="shared" si="8"/>
        <v/>
      </c>
      <c r="M56" s="179"/>
      <c r="N56" s="178"/>
      <c r="O56" s="560"/>
      <c r="P56" s="508"/>
      <c r="R56" s="410"/>
      <c r="T56" s="363" t="str">
        <f>IF(D56="","",VLOOKUP(D56,'9. All Habitats + Multipliers'!$C$4:$K$102,5,FALSE))</f>
        <v/>
      </c>
      <c r="U56" s="362"/>
      <c r="V56" s="824" t="str">
        <f>IF(T56="","",VLOOKUP(T56,'11. Lists'!$S$47:$U$50,2,FALSE))</f>
        <v/>
      </c>
      <c r="W56" s="579" t="str">
        <f t="shared" si="9"/>
        <v/>
      </c>
      <c r="X56" s="580" t="str">
        <f>IF(W56="","",VLOOKUP(W56,'11. Lists'!$F$47:$G$51,2,FALSE))</f>
        <v/>
      </c>
      <c r="Y56" s="534"/>
      <c r="Z56" s="534"/>
      <c r="AA56" s="534"/>
      <c r="AB56" s="669" t="str">
        <f t="shared" si="10"/>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1:73" s="520" customFormat="1" ht="28.9" customHeight="1" x14ac:dyDescent="0.25">
      <c r="B57" s="744">
        <v>19</v>
      </c>
      <c r="C57" s="1031" t="s">
        <v>238</v>
      </c>
      <c r="D57" s="559"/>
      <c r="E57" s="591" t="str">
        <f>IF(D57="","",VLOOKUP(D57,'10. Condition and Temporal'!$B$6:$D$103,3,FALSE))</f>
        <v/>
      </c>
      <c r="F57" s="182"/>
      <c r="G57" s="181"/>
      <c r="H57" s="557"/>
      <c r="I57" s="334"/>
      <c r="J57" s="333"/>
      <c r="K57" s="333"/>
      <c r="L57" s="180" t="str">
        <f t="shared" si="8"/>
        <v/>
      </c>
      <c r="M57" s="179"/>
      <c r="N57" s="178"/>
      <c r="O57" s="560"/>
      <c r="P57" s="508"/>
      <c r="R57" s="410"/>
      <c r="T57" s="363" t="str">
        <f>IF(D57="","",VLOOKUP(D57,'9. All Habitats + Multipliers'!$C$4:$K$102,5,FALSE))</f>
        <v/>
      </c>
      <c r="U57" s="362"/>
      <c r="V57" s="824" t="str">
        <f>IF(T57="","",VLOOKUP(T57,'11. Lists'!$S$47:$U$50,2,FALSE))</f>
        <v/>
      </c>
      <c r="W57" s="579" t="str">
        <f t="shared" si="9"/>
        <v/>
      </c>
      <c r="X57" s="580" t="str">
        <f>IF(W57="","",VLOOKUP(W57,'11. Lists'!$F$47:$G$51,2,FALSE))</f>
        <v/>
      </c>
      <c r="Y57" s="534"/>
      <c r="Z57" s="534"/>
      <c r="AA57" s="534"/>
      <c r="AB57" s="669" t="str">
        <f t="shared" si="10"/>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1:73" s="520" customFormat="1" ht="29.45" customHeight="1" x14ac:dyDescent="0.25">
      <c r="B58" s="745">
        <v>20</v>
      </c>
      <c r="C58" s="1032" t="s">
        <v>238</v>
      </c>
      <c r="D58" s="621"/>
      <c r="E58" s="622" t="str">
        <f>IF(D58="","",VLOOKUP(D58,'10. Condition and Temporal'!$B$6:$D$103,3,FALSE))</f>
        <v/>
      </c>
      <c r="F58" s="177"/>
      <c r="G58" s="176"/>
      <c r="H58" s="565"/>
      <c r="I58" s="175"/>
      <c r="J58" s="174"/>
      <c r="K58" s="174"/>
      <c r="L58" s="173" t="str">
        <f t="shared" si="8"/>
        <v/>
      </c>
      <c r="M58" s="172"/>
      <c r="N58" s="171"/>
      <c r="O58" s="561"/>
      <c r="P58" s="510"/>
      <c r="R58" s="410"/>
      <c r="T58" s="363" t="str">
        <f>IF(D58="","",VLOOKUP(D58,'9. All Habitats + Multipliers'!$C$4:$K$102,5,FALSE))</f>
        <v/>
      </c>
      <c r="U58" s="362"/>
      <c r="V58" s="824" t="str">
        <f>IF(T58="","",VLOOKUP(T58,'11. Lists'!$S$47:$U$50,2,FALSE))</f>
        <v/>
      </c>
      <c r="W58" s="584" t="str">
        <f t="shared" si="9"/>
        <v/>
      </c>
      <c r="X58" s="585" t="str">
        <f>IF(W58="","",VLOOKUP(W58,'11. Lists'!$F$47:$G$51,2,FALSE))</f>
        <v/>
      </c>
      <c r="Y58" s="534"/>
      <c r="Z58" s="534"/>
      <c r="AA58" s="534"/>
      <c r="AB58" s="669" t="str">
        <f t="shared" si="10"/>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1:73" s="520" customFormat="1" ht="15" customHeight="1" x14ac:dyDescent="0.25">
      <c r="H59" s="749" t="s">
        <v>239</v>
      </c>
      <c r="I59" s="319">
        <f>SUM(I39:K58)</f>
        <v>0</v>
      </c>
      <c r="J59" s="318"/>
      <c r="K59" s="317"/>
      <c r="L59" s="170">
        <f>SUM(L39:N58)</f>
        <v>0</v>
      </c>
      <c r="M59" s="169"/>
      <c r="N59" s="168"/>
      <c r="R59" s="410"/>
    </row>
    <row r="60" spans="1:73" s="520" customFormat="1" ht="15" customHeight="1" x14ac:dyDescent="0.25">
      <c r="H60" s="752" t="s">
        <v>109</v>
      </c>
      <c r="I60" s="192" t="str">
        <f>IF(I59&lt;5000,"Lengths Acceptable ✓",IF(I59&gt;=5000,"Length Exceeds Length Appropriate for Small Sites Metric ▲"))</f>
        <v>Lengths Acceptable ✓</v>
      </c>
      <c r="J60" s="192"/>
      <c r="K60" s="192"/>
      <c r="L60" s="192"/>
      <c r="M60" s="192"/>
      <c r="N60" s="191"/>
      <c r="R60" s="410"/>
    </row>
    <row r="61" spans="1:73" s="520" customFormat="1" x14ac:dyDescent="0.25">
      <c r="R61" s="410"/>
      <c r="BA61" s="536" t="s">
        <v>128</v>
      </c>
    </row>
    <row r="62" spans="1:73" s="520" customFormat="1" ht="21" customHeight="1" x14ac:dyDescent="0.35">
      <c r="B62" s="543" t="s">
        <v>129</v>
      </c>
      <c r="D62" s="574"/>
      <c r="H62" s="521"/>
      <c r="R62" s="410"/>
      <c r="BA62" s="536" t="s">
        <v>130</v>
      </c>
    </row>
    <row r="63" spans="1:73" s="520" customFormat="1" ht="15" customHeight="1" x14ac:dyDescent="0.25">
      <c r="A63" s="167"/>
      <c r="R63" s="410"/>
    </row>
    <row r="64" spans="1:73" s="520" customFormat="1" ht="16.149999999999999" customHeight="1" x14ac:dyDescent="0.25">
      <c r="A64" s="167"/>
      <c r="B64" s="310" t="s">
        <v>131</v>
      </c>
      <c r="C64" s="381" t="s">
        <v>132</v>
      </c>
      <c r="D64" s="379"/>
      <c r="E64" s="393" t="s">
        <v>133</v>
      </c>
      <c r="F64" s="392"/>
      <c r="G64" s="391"/>
      <c r="H64" s="308" t="s">
        <v>134</v>
      </c>
      <c r="I64" s="308" t="s">
        <v>242</v>
      </c>
      <c r="J64" s="306" t="s">
        <v>136</v>
      </c>
      <c r="K64" s="305"/>
      <c r="L64" s="378" t="s">
        <v>137</v>
      </c>
      <c r="M64" s="380" t="s">
        <v>138</v>
      </c>
      <c r="N64" s="379"/>
      <c r="O64" s="299" t="s">
        <v>80</v>
      </c>
      <c r="P64" s="374"/>
      <c r="R64" s="410"/>
      <c r="T64" s="298" t="s">
        <v>139</v>
      </c>
      <c r="U64" s="297"/>
      <c r="V64" s="297"/>
      <c r="W64" s="297"/>
      <c r="X64" s="297"/>
      <c r="Y64" s="297"/>
      <c r="Z64" s="297"/>
      <c r="AA64" s="297"/>
      <c r="AB64" s="297"/>
      <c r="AC64" s="297"/>
      <c r="AD64" s="296"/>
      <c r="AE64" s="308" t="s">
        <v>140</v>
      </c>
      <c r="AF64" s="298" t="s">
        <v>141</v>
      </c>
      <c r="AG64" s="297"/>
      <c r="AH64" s="297"/>
      <c r="AI64" s="297"/>
      <c r="AJ64" s="165"/>
      <c r="AK64" s="165"/>
      <c r="AL64" s="165"/>
      <c r="AM64" s="165"/>
      <c r="AN64" s="165"/>
      <c r="AO64" s="297"/>
      <c r="AP64" s="296"/>
      <c r="AQ64" s="295" t="s">
        <v>142</v>
      </c>
      <c r="AR64" s="298" t="s">
        <v>141</v>
      </c>
      <c r="AS64" s="297"/>
      <c r="AT64" s="297"/>
      <c r="AU64" s="297"/>
      <c r="AV64" s="297"/>
      <c r="AW64" s="297"/>
      <c r="AX64" s="296"/>
      <c r="BA64" s="640" t="s">
        <v>143</v>
      </c>
      <c r="BB64" s="670">
        <f t="shared" ref="BB64:BU64" si="11">COUNTIF(BB66:BB85,"?*")</f>
        <v>0</v>
      </c>
      <c r="BC64" s="670">
        <f t="shared" si="11"/>
        <v>1</v>
      </c>
      <c r="BD64" s="670">
        <f t="shared" si="11"/>
        <v>0</v>
      </c>
      <c r="BE64" s="670">
        <f t="shared" si="11"/>
        <v>0</v>
      </c>
      <c r="BF64" s="670">
        <f t="shared" si="11"/>
        <v>0</v>
      </c>
      <c r="BG64" s="670">
        <f t="shared" si="11"/>
        <v>0</v>
      </c>
      <c r="BH64" s="670">
        <f t="shared" si="11"/>
        <v>0</v>
      </c>
      <c r="BI64" s="670">
        <f t="shared" si="11"/>
        <v>0</v>
      </c>
      <c r="BJ64" s="670">
        <f t="shared" si="11"/>
        <v>0</v>
      </c>
      <c r="BK64" s="670">
        <f t="shared" si="11"/>
        <v>0</v>
      </c>
      <c r="BL64" s="670">
        <f t="shared" si="11"/>
        <v>0</v>
      </c>
      <c r="BM64" s="670">
        <f t="shared" si="11"/>
        <v>0</v>
      </c>
      <c r="BN64" s="670">
        <f t="shared" si="11"/>
        <v>0</v>
      </c>
      <c r="BO64" s="670">
        <f t="shared" si="11"/>
        <v>0</v>
      </c>
      <c r="BP64" s="670">
        <f t="shared" si="11"/>
        <v>0</v>
      </c>
      <c r="BQ64" s="670">
        <f t="shared" si="11"/>
        <v>0</v>
      </c>
      <c r="BR64" s="670">
        <f t="shared" si="11"/>
        <v>0</v>
      </c>
      <c r="BS64" s="670">
        <f t="shared" si="11"/>
        <v>0</v>
      </c>
      <c r="BT64" s="670">
        <f t="shared" si="11"/>
        <v>0</v>
      </c>
      <c r="BU64" s="670">
        <f t="shared" si="11"/>
        <v>0</v>
      </c>
    </row>
    <row r="65" spans="1:76" s="520" customFormat="1" ht="41.65" customHeight="1" x14ac:dyDescent="0.25">
      <c r="A65" s="167"/>
      <c r="B65" s="309"/>
      <c r="C65" s="691" t="s">
        <v>144</v>
      </c>
      <c r="D65" s="576" t="s">
        <v>145</v>
      </c>
      <c r="E65" s="572" t="s">
        <v>146</v>
      </c>
      <c r="F65" s="338" t="s">
        <v>147</v>
      </c>
      <c r="G65" s="337"/>
      <c r="H65" s="307"/>
      <c r="I65" s="307"/>
      <c r="J65" s="304"/>
      <c r="K65" s="303"/>
      <c r="L65" s="166"/>
      <c r="M65" s="301"/>
      <c r="N65" s="300"/>
      <c r="O65" s="681" t="s">
        <v>95</v>
      </c>
      <c r="P65" s="576" t="s">
        <v>96</v>
      </c>
      <c r="R65" s="410"/>
      <c r="T65" s="812" t="s">
        <v>148</v>
      </c>
      <c r="U65" s="831" t="s">
        <v>149</v>
      </c>
      <c r="V65" s="830" t="s">
        <v>150</v>
      </c>
      <c r="W65" s="831" t="s">
        <v>151</v>
      </c>
      <c r="X65" s="834" t="s">
        <v>152</v>
      </c>
      <c r="Y65" s="835"/>
      <c r="Z65" s="835"/>
      <c r="AA65" s="835"/>
      <c r="AB65" s="834" t="s">
        <v>153</v>
      </c>
      <c r="AC65" s="833" t="s">
        <v>154</v>
      </c>
      <c r="AD65" s="830" t="s">
        <v>155</v>
      </c>
      <c r="AE65" s="307"/>
      <c r="AF65" s="813" t="s">
        <v>148</v>
      </c>
      <c r="AG65" s="831" t="s">
        <v>97</v>
      </c>
      <c r="AH65" s="830" t="s">
        <v>98</v>
      </c>
      <c r="AI65" s="813" t="s">
        <v>99</v>
      </c>
      <c r="AJ65" s="837" t="s">
        <v>98</v>
      </c>
      <c r="AK65" s="846"/>
      <c r="AL65" s="846"/>
      <c r="AM65" s="846"/>
      <c r="AN65" s="838" t="s">
        <v>83</v>
      </c>
      <c r="AO65" s="832" t="s">
        <v>83</v>
      </c>
      <c r="AP65" s="830" t="s">
        <v>100</v>
      </c>
      <c r="AQ65" s="164"/>
      <c r="AR65" s="830" t="s">
        <v>156</v>
      </c>
      <c r="AS65" s="831" t="s">
        <v>157</v>
      </c>
      <c r="AT65" s="830" t="s">
        <v>158</v>
      </c>
      <c r="AU65" s="832" t="s">
        <v>159</v>
      </c>
      <c r="AV65" s="830" t="s">
        <v>160</v>
      </c>
      <c r="AW65" s="666" t="s">
        <v>161</v>
      </c>
      <c r="AX65" s="667" t="s">
        <v>162</v>
      </c>
      <c r="BA65" s="569" t="s">
        <v>243</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165</v>
      </c>
      <c r="BW65" s="654" t="s">
        <v>166</v>
      </c>
      <c r="BX65" s="654" t="s">
        <v>167</v>
      </c>
    </row>
    <row r="66" spans="1:76" s="520" customFormat="1" ht="15.6" customHeight="1" x14ac:dyDescent="0.25">
      <c r="B66" s="750">
        <v>1</v>
      </c>
      <c r="C66" s="893" t="str">
        <f t="shared" ref="C66:C85" si="12">IF(D66="","",C11)</f>
        <v/>
      </c>
      <c r="D66" s="894" t="str">
        <f t="shared" ref="D66:D85" si="13">IF(OR(K11="", K11=0),"",D11)</f>
        <v/>
      </c>
      <c r="E66" s="895" t="str">
        <f t="shared" ref="E66:E85" si="14">IF(AX66="","",AX66)</f>
        <v/>
      </c>
      <c r="F66" s="205"/>
      <c r="G66" s="204"/>
      <c r="H66" s="896" t="str">
        <f t="shared" ref="H66:H85" si="15">IF(D66="","",AB66)</f>
        <v/>
      </c>
      <c r="I66" s="897" t="str">
        <f t="shared" ref="I66:I85" si="16">IF(OR(K11="", K11=0),"",K11)</f>
        <v/>
      </c>
      <c r="J66" s="163" t="str">
        <f>IFERROR(IF(F66="","",VLOOKUP(F66,'10. Condition and Temporal'!$B$6:$F$103,5,FALSE)), "Error ▲")</f>
        <v/>
      </c>
      <c r="K66" s="162"/>
      <c r="L66" s="775" t="str">
        <f t="shared" ref="L66:L85" si="17">IFERROR(IF(D66="","",IF(AX66="Distinctiveness",(((((I66*AH66*AJ66)-(I66*V66*X66))*(AV66*AT66))+(I66*V66*X66))*AP66/1000),((((I66*AH66*AJ66)-(I66*V66*X66))*(AV66*AR66))+(I66*V66*X66))*AP66/1000)),"This intervention is not permitted within the SSM ▲")</f>
        <v/>
      </c>
      <c r="M66" s="161" t="str">
        <f t="shared" ref="M66:M85" si="18">IFERROR(IF(F66="","",L66-AD66), "Error ▲")</f>
        <v/>
      </c>
      <c r="N66" s="160"/>
      <c r="O66" s="697"/>
      <c r="P66" s="628"/>
      <c r="R66" s="410"/>
      <c r="T66" s="662" t="str">
        <f t="shared" ref="T66:T85" si="19">IF(D66="","",K11)</f>
        <v/>
      </c>
      <c r="U66" s="600" t="str">
        <f t="shared" ref="U66:U85" si="20">IF($D66="","",T11)</f>
        <v/>
      </c>
      <c r="V66" s="601" t="str">
        <f t="shared" ref="V66:X85" si="21">IF($D66="","",V11)</f>
        <v/>
      </c>
      <c r="W66" s="600" t="str">
        <f t="shared" si="21"/>
        <v/>
      </c>
      <c r="X66" s="581" t="str">
        <f t="shared" si="21"/>
        <v/>
      </c>
      <c r="Y66" s="823"/>
      <c r="Z66" s="823"/>
      <c r="AA66" s="823"/>
      <c r="AB66" s="581" t="str">
        <f t="shared" ref="AB66:AB85" si="22">IF($D66="","",AB11)</f>
        <v/>
      </c>
      <c r="AC66" s="602" t="str">
        <f t="shared" ref="AC66:AC85" si="23">IF($D66="","",AD11)</f>
        <v/>
      </c>
      <c r="AD66" s="601" t="str">
        <f t="shared" ref="AD66:AD85" si="24">IF(AC66="","",(T66*V66*X66)*AC66/1000)</f>
        <v/>
      </c>
      <c r="AE66" s="664" t="str">
        <f t="shared" ref="AE66:AE85" si="25">IF(AD66="","",IF(AH66&lt;V66,"Not Acceptable","Acceptable"))</f>
        <v/>
      </c>
      <c r="AF66" s="599" t="str">
        <f t="shared" ref="AF66:AF85" si="26">IF(D66="","",I66)</f>
        <v/>
      </c>
      <c r="AG66" s="600" t="str">
        <f>IF(D66="","",VLOOKUP(F66,'9. All Habitats + Multipliers'!$C$4:$K$102,5,FALSE))</f>
        <v/>
      </c>
      <c r="AH66" s="601" t="str">
        <f>IF(AG66="","",VLOOKUP(AG66,'11. Lists'!$S$47:$U$50,2,FALSE))</f>
        <v/>
      </c>
      <c r="AI66" s="599" t="str">
        <f t="shared" ref="AI66:AI85" si="27">IF(D66="","",J66)</f>
        <v/>
      </c>
      <c r="AJ66" s="579" t="str">
        <f>IF(AI66="","",VLOOKUP(AI66,'11. Lists'!$F$47:$G$51,2,FALSE))</f>
        <v/>
      </c>
      <c r="AK66" s="823"/>
      <c r="AL66" s="823"/>
      <c r="AM66" s="823"/>
      <c r="AN66" s="580" t="str">
        <f t="shared" ref="AN66:AN85" si="28">IF(H66="","",H66)</f>
        <v/>
      </c>
      <c r="AO66" s="603"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601" t="str">
        <f t="shared" ref="AX66:AX85" si="29">IF(F66="","",IF(D66=F66,"Condition","Distinctiveness"))</f>
        <v/>
      </c>
      <c r="AZ66" s="686"/>
      <c r="BA66" s="579">
        <v>1</v>
      </c>
      <c r="BB66" s="581" t="str">
        <f t="shared" ref="BB66:BB85" si="30">TRIM(MID(SUBSTITUTE($AW$66,$BA$62,REPT(" ",LEN($AW$66))),($BA66-1)*LEN($AW$66)+1,LEN($AW$66)))</f>
        <v/>
      </c>
      <c r="BC66" s="581" t="str">
        <f t="shared" ref="BC66:BC85" si="31">TRIM(MID(SUBSTITUTE($AW$67,$BA$62,REPT(" ",LEN($AW$67))),($BA66-1)*LEN($AW$67)+1,LEN($AW$67)))</f>
        <v>Native hedgerow with trees</v>
      </c>
      <c r="BD66" s="581" t="str">
        <f t="shared" ref="BD66:BD85" si="32">TRIM(MID(SUBSTITUTE($AW$68,$BA$62,REPT(" ",LEN($AW$68))),($BA66-1)*LEN($AW$68)+1,LEN($AW$68)))</f>
        <v/>
      </c>
      <c r="BE66" s="581" t="str">
        <f t="shared" ref="BE66:BE85" si="33">TRIM(MID(SUBSTITUTE($AW$69,$BA$62,REPT(" ",LEN($AW$69))),($BA66-1)*LEN($AW$69)+1,LEN($AW$69)))</f>
        <v/>
      </c>
      <c r="BF66" s="581" t="str">
        <f t="shared" ref="BF66:BF85" si="34">TRIM(MID(SUBSTITUTE($AW$70,$BA$62,REPT(" ",LEN($AW$70))),($BA66-1)*LEN($AW$70)+1,LEN($AW$70)))</f>
        <v/>
      </c>
      <c r="BG66" s="581" t="str">
        <f t="shared" ref="BG66:BG85" si="35">TRIM(MID(SUBSTITUTE($AW$71,$BA$62,REPT(" ",LEN($AW$71))),($BA66-1)*LEN($AW$71)+1,LEN($AW$71)))</f>
        <v/>
      </c>
      <c r="BH66" s="581" t="str">
        <f t="shared" ref="BH66:BH85" si="36">TRIM(MID(SUBSTITUTE($AW$72,$BA$62,REPT(" ",LEN($AW$72))),($BA66-1)*LEN($AW$72)+1,LEN($AW$72)))</f>
        <v/>
      </c>
      <c r="BI66" s="581" t="str">
        <f t="shared" ref="BI66:BI85" si="37">TRIM(MID(SUBSTITUTE($AW$73,$BA$62,REPT(" ",LEN($AW$73))),($BA66-1)*LEN($AW$73)+1,LEN($AW$73)))</f>
        <v/>
      </c>
      <c r="BJ66" s="581" t="str">
        <f t="shared" ref="BJ66:BJ85" si="38">TRIM(MID(SUBSTITUTE($AW$74,$BA$62,REPT(" ",LEN($AW$74))),($BA66-1)*LEN($AW$74)+1,LEN($AW$74)))</f>
        <v/>
      </c>
      <c r="BK66" s="581" t="str">
        <f t="shared" ref="BK66:BK85" si="39">TRIM(MID(SUBSTITUTE($AW$75,$BA$62,REPT(" ",LEN($AW$75))),($BA66-1)*LEN($AW$75)+1,LEN($AW$75)))</f>
        <v/>
      </c>
      <c r="BL66" s="581" t="str">
        <f t="shared" ref="BL66:BL85" si="40">TRIM(MID(SUBSTITUTE($AW$76,$BA$62,REPT(" ",LEN($AW$76))),($BA66-1)*LEN($AW$76)+1,LEN($AW$76)))</f>
        <v/>
      </c>
      <c r="BM66" s="581" t="str">
        <f t="shared" ref="BM66:BM85" si="41">TRIM(MID(SUBSTITUTE($AW$77,$BA$62,REPT(" ",LEN($AW$77))),($BA66-1)*LEN($AW$77)+1,LEN($AW$77)))</f>
        <v/>
      </c>
      <c r="BN66" s="581" t="str">
        <f t="shared" ref="BN66:BN85" si="42">TRIM(MID(SUBSTITUTE($AW$78,$BA$62,REPT(" ",LEN($AW$78))),($BA66-1)*LEN($AW$78)+1,LEN($AW$78)))</f>
        <v/>
      </c>
      <c r="BO66" s="581" t="str">
        <f t="shared" ref="BO66:BO85" si="43">TRIM(MID(SUBSTITUTE($AW$79,$BA$62,REPT(" ",LEN($AW$79))),($BA66-1)*LEN($AW$79)+1,LEN($AW$79)))</f>
        <v/>
      </c>
      <c r="BP66" s="581" t="str">
        <f t="shared" ref="BP66:BP85" si="44">TRIM(MID(SUBSTITUTE($AW$80,$BA$62,REPT(" ",LEN($AW$80))),($BA66-1)*LEN($AW$80)+1,LEN($AW$80)))</f>
        <v/>
      </c>
      <c r="BQ66" s="581" t="str">
        <f t="shared" ref="BQ66:BQ85" si="45">TRIM(MID(SUBSTITUTE($AW$81,$BA$62,REPT(" ",LEN($AW$81))),($BA66-1)*LEN($AW$81)+1,LEN($AW$81)))</f>
        <v/>
      </c>
      <c r="BR66" s="581" t="str">
        <f t="shared" ref="BR66:BR85" si="46">TRIM(MID(SUBSTITUTE($AW$82,$BA$62,REPT(" ",LEN($AW$82))),($BA66-1)*LEN($AW$82)+1,LEN($AW$82)))</f>
        <v/>
      </c>
      <c r="BS66" s="581" t="str">
        <f t="shared" ref="BS66:BS85" si="47">TRIM(MID(SUBSTITUTE($AW$83,$BA$62,REPT(" ",LEN($AW$83))),($BA66-1)*LEN($AW$83)+1,LEN($AW$83)))</f>
        <v/>
      </c>
      <c r="BT66" s="581" t="str">
        <f t="shared" ref="BT66:BT85" si="48">TRIM(MID(SUBSTITUTE($AW$84,$BA$62,REPT(" ",LEN($AW$84))),($BA66-1)*LEN($AW$84)+1,LEN($AW$84)))</f>
        <v/>
      </c>
      <c r="BU66" s="580" t="str">
        <f t="shared" ref="BU66:BU85" si="49">TRIM(MID(SUBSTITUTE($AW$85,$BA$62,REPT(" ",LEN($AW$85))),($BA66-1)*LEN($AW$85)+1,LEN($AW$85)))</f>
        <v/>
      </c>
      <c r="BV66" s="669" t="str">
        <f t="shared" ref="BV66:BV85" si="50">IF(BX66=0,"",CONCATENATE(BW66,"66:",BW66,BX66+65))</f>
        <v/>
      </c>
      <c r="BW66" s="581" t="s">
        <v>168</v>
      </c>
      <c r="BX66" s="581">
        <f>BB64</f>
        <v>0</v>
      </c>
    </row>
    <row r="67" spans="1:76" s="520" customFormat="1" ht="15.6" customHeight="1" x14ac:dyDescent="0.25">
      <c r="B67" s="744">
        <v>2</v>
      </c>
      <c r="C67" s="605" t="str">
        <f t="shared" si="12"/>
        <v>Hedgerows and Lines of trees</v>
      </c>
      <c r="D67" s="688" t="str">
        <f t="shared" si="13"/>
        <v>Native hedgerow with trees</v>
      </c>
      <c r="E67" s="651" t="str">
        <f t="shared" si="14"/>
        <v>Condition</v>
      </c>
      <c r="F67" s="290" t="s">
        <v>247</v>
      </c>
      <c r="G67" s="289"/>
      <c r="H67" s="648" t="str">
        <f t="shared" si="15"/>
        <v>Area/compensation not in local strategy/ no local strategy</v>
      </c>
      <c r="I67" s="800">
        <f t="shared" si="16"/>
        <v>16.848099999999999</v>
      </c>
      <c r="J67" s="159" t="str">
        <f>IFERROR(IF(F67="","",VLOOKUP(F67,'10. Condition and Temporal'!$B$6:$F$103,5,FALSE)), "Error ▲")</f>
        <v>Good</v>
      </c>
      <c r="K67" s="158"/>
      <c r="L67" s="763">
        <f t="shared" si="17"/>
        <v>0.19322614147243541</v>
      </c>
      <c r="M67" s="329">
        <f t="shared" si="18"/>
        <v>5.8441341472435432E-2</v>
      </c>
      <c r="N67" s="157"/>
      <c r="O67" s="560"/>
      <c r="P67" s="508"/>
      <c r="R67" s="410"/>
      <c r="T67" s="662">
        <f t="shared" si="19"/>
        <v>16.848099999999999</v>
      </c>
      <c r="U67" s="600" t="str">
        <f t="shared" si="20"/>
        <v>Medium</v>
      </c>
      <c r="V67" s="601">
        <f t="shared" si="21"/>
        <v>4</v>
      </c>
      <c r="W67" s="600" t="str">
        <f t="shared" si="21"/>
        <v>Moderate</v>
      </c>
      <c r="X67" s="581">
        <f t="shared" si="21"/>
        <v>2</v>
      </c>
      <c r="Y67" s="823"/>
      <c r="Z67" s="823"/>
      <c r="AA67" s="823"/>
      <c r="AB67" s="581" t="str">
        <f t="shared" si="22"/>
        <v>Area/compensation not in local strategy/ no local strategy</v>
      </c>
      <c r="AC67" s="602">
        <f t="shared" si="23"/>
        <v>1</v>
      </c>
      <c r="AD67" s="601">
        <f t="shared" si="24"/>
        <v>0.13478479999999998</v>
      </c>
      <c r="AE67" s="664" t="str">
        <f t="shared" si="25"/>
        <v>Acceptable</v>
      </c>
      <c r="AF67" s="599">
        <f t="shared" si="26"/>
        <v>16.848099999999999</v>
      </c>
      <c r="AG67" s="600" t="str">
        <f>IF(D67="","",VLOOKUP(F67,'9. All Habitats + Multipliers'!$C$4:$K$102,5,FALSE))</f>
        <v>Medium</v>
      </c>
      <c r="AH67" s="601">
        <f>IF(AG67="","",VLOOKUP(AG67,'11. Lists'!$S$47:$U$50,2,FALSE))</f>
        <v>4</v>
      </c>
      <c r="AI67" s="599" t="str">
        <f t="shared" si="27"/>
        <v>Good</v>
      </c>
      <c r="AJ67" s="579">
        <f>IF(AI67="","",VLOOKUP(AI67,'11. Lists'!$F$47:$G$51,2,FALSE))</f>
        <v>3</v>
      </c>
      <c r="AK67" s="823"/>
      <c r="AL67" s="823"/>
      <c r="AM67" s="823"/>
      <c r="AN67" s="580" t="str">
        <f t="shared" si="28"/>
        <v>Area/compensation not in local strategy/ no local strategy</v>
      </c>
      <c r="AO67" s="603" t="str">
        <f>IF(AN67="","",VLOOKUP(AN67,'11. Lists'!$F$36:$H$38,2,FALSE))</f>
        <v>Low Strategic Significance</v>
      </c>
      <c r="AP67" s="601">
        <f>IF(AN67="","",VLOOKUP(AN67,'11. Lists'!$F$36:$H$38,3,FALSE))</f>
        <v>1</v>
      </c>
      <c r="AQ67" s="600">
        <f>IF(D67="","",IF(AX67="Distinctiveness","N/A",VLOOKUP(F67,'10. Condition and Temporal'!$B$6:$L$103,11,FALSE)))</f>
        <v>4</v>
      </c>
      <c r="AR67" s="604">
        <f>IF(AQ67="","",IF(AQ67="N/A","1",VLOOKUP(AQ67,'11. Lists'!$I$47:$K$80,3,FALSE)))</f>
        <v>0.8671800006</v>
      </c>
      <c r="AS67" s="620" t="str">
        <f>IF(D67="","",IF(AX67="Condition","N/A",VLOOKUP(F67,'10. Condition and Temporal'!$B$6:$M$106,12,FALSE)))</f>
        <v>N/A</v>
      </c>
      <c r="AT67" s="604" t="str">
        <f>IF(AS67="","",IF(AS67="N/A","1",VLOOKUP(AS67,'11. Lists'!$I$47:$K$80,3,FALSE)))</f>
        <v>1</v>
      </c>
      <c r="AU67" s="603" t="str">
        <f>IF(D67="","",VLOOKUP(F67,'9. All Habitats + Multipliers'!$C$4:$K$102,8,FALSE))</f>
        <v>Low</v>
      </c>
      <c r="AV67" s="601">
        <f>IF(AU67="","",VLOOKUP(AU67,'11. Lists'!$J$35:$K$38,2,FALSE))</f>
        <v>1</v>
      </c>
      <c r="AW67" s="600" t="str">
        <f>IF(D67="","",VLOOKUP(D67,'10. Condition and Temporal'!$B$6:$M$103,4,FALSE))</f>
        <v>Native hedgerow with trees</v>
      </c>
      <c r="AX67" s="601" t="str">
        <f t="shared" si="29"/>
        <v>Condition</v>
      </c>
      <c r="AZ67" s="686"/>
      <c r="BA67" s="579">
        <v>2</v>
      </c>
      <c r="BB67" s="581" t="str">
        <f t="shared" si="30"/>
        <v/>
      </c>
      <c r="BC67" s="581" t="str">
        <f t="shared" si="31"/>
        <v/>
      </c>
      <c r="BD67" s="581" t="str">
        <f t="shared" si="32"/>
        <v/>
      </c>
      <c r="BE67" s="581" t="str">
        <f t="shared" si="33"/>
        <v/>
      </c>
      <c r="BF67" s="581" t="str">
        <f t="shared" si="34"/>
        <v/>
      </c>
      <c r="BG67" s="581" t="str">
        <f t="shared" si="35"/>
        <v/>
      </c>
      <c r="BH67" s="581" t="str">
        <f t="shared" si="36"/>
        <v/>
      </c>
      <c r="BI67" s="581" t="str">
        <f t="shared" si="37"/>
        <v/>
      </c>
      <c r="BJ67" s="581" t="str">
        <f t="shared" si="38"/>
        <v/>
      </c>
      <c r="BK67" s="581" t="str">
        <f t="shared" si="39"/>
        <v/>
      </c>
      <c r="BL67" s="581" t="str">
        <f t="shared" si="40"/>
        <v/>
      </c>
      <c r="BM67" s="581" t="str">
        <f t="shared" si="41"/>
        <v/>
      </c>
      <c r="BN67" s="581" t="str">
        <f t="shared" si="42"/>
        <v/>
      </c>
      <c r="BO67" s="581" t="str">
        <f t="shared" si="43"/>
        <v/>
      </c>
      <c r="BP67" s="581" t="str">
        <f t="shared" si="44"/>
        <v/>
      </c>
      <c r="BQ67" s="581" t="str">
        <f t="shared" si="45"/>
        <v/>
      </c>
      <c r="BR67" s="581" t="str">
        <f t="shared" si="46"/>
        <v/>
      </c>
      <c r="BS67" s="581" t="str">
        <f t="shared" si="47"/>
        <v/>
      </c>
      <c r="BT67" s="581" t="str">
        <f t="shared" si="48"/>
        <v/>
      </c>
      <c r="BU67" s="580" t="str">
        <f t="shared" si="49"/>
        <v/>
      </c>
      <c r="BV67" s="669" t="str">
        <f t="shared" si="50"/>
        <v>BC66:BC66</v>
      </c>
      <c r="BW67" s="581" t="s">
        <v>169</v>
      </c>
      <c r="BX67" s="581">
        <f>BC64</f>
        <v>1</v>
      </c>
    </row>
    <row r="68" spans="1:76" s="520" customFormat="1" ht="15.6" customHeight="1" x14ac:dyDescent="0.25">
      <c r="B68" s="744">
        <v>3</v>
      </c>
      <c r="C68" s="605" t="str">
        <f t="shared" si="12"/>
        <v/>
      </c>
      <c r="D68" s="688" t="str">
        <f t="shared" si="13"/>
        <v/>
      </c>
      <c r="E68" s="651" t="str">
        <f t="shared" si="14"/>
        <v/>
      </c>
      <c r="F68" s="290"/>
      <c r="G68" s="289"/>
      <c r="H68" s="648" t="str">
        <f t="shared" si="15"/>
        <v/>
      </c>
      <c r="I68" s="800" t="str">
        <f t="shared" si="16"/>
        <v/>
      </c>
      <c r="J68" s="159" t="str">
        <f>IFERROR(IF(F68="","",VLOOKUP(F68,'10. Condition and Temporal'!$B$6:$F$103,5,FALSE)), "Error ▲")</f>
        <v/>
      </c>
      <c r="K68" s="158"/>
      <c r="L68" s="763" t="str">
        <f t="shared" si="17"/>
        <v/>
      </c>
      <c r="M68" s="329" t="str">
        <f t="shared" si="18"/>
        <v/>
      </c>
      <c r="N68" s="157"/>
      <c r="O68" s="560"/>
      <c r="P68" s="508"/>
      <c r="R68" s="410"/>
      <c r="T68" s="662" t="str">
        <f t="shared" si="19"/>
        <v/>
      </c>
      <c r="U68" s="600" t="str">
        <f t="shared" si="20"/>
        <v/>
      </c>
      <c r="V68" s="601" t="str">
        <f t="shared" si="21"/>
        <v/>
      </c>
      <c r="W68" s="600" t="str">
        <f t="shared" si="21"/>
        <v/>
      </c>
      <c r="X68" s="581" t="str">
        <f t="shared" si="21"/>
        <v/>
      </c>
      <c r="Y68" s="823"/>
      <c r="Z68" s="823"/>
      <c r="AA68" s="823"/>
      <c r="AB68" s="581" t="str">
        <f t="shared" si="22"/>
        <v/>
      </c>
      <c r="AC68" s="602" t="str">
        <f t="shared" si="23"/>
        <v/>
      </c>
      <c r="AD68" s="601" t="str">
        <f t="shared" si="24"/>
        <v/>
      </c>
      <c r="AE68" s="664" t="str">
        <f t="shared" si="25"/>
        <v/>
      </c>
      <c r="AF68" s="599" t="str">
        <f t="shared" si="26"/>
        <v/>
      </c>
      <c r="AG68" s="600" t="str">
        <f>IF(D68="","",VLOOKUP(F68,'9. All Habitats + Multipliers'!$C$4:$K$102,5,FALSE))</f>
        <v/>
      </c>
      <c r="AH68" s="601" t="str">
        <f>IF(AG68="","",VLOOKUP(AG68,'11. Lists'!$S$47:$U$50,2,FALSE))</f>
        <v/>
      </c>
      <c r="AI68" s="599" t="str">
        <f t="shared" si="27"/>
        <v/>
      </c>
      <c r="AJ68" s="579" t="str">
        <f>IF(AI68="","",VLOOKUP(AI68,'11. Lists'!$F$47:$G$51,2,FALSE))</f>
        <v/>
      </c>
      <c r="AK68" s="823"/>
      <c r="AL68" s="823"/>
      <c r="AM68" s="823"/>
      <c r="AN68" s="580" t="str">
        <f t="shared" si="28"/>
        <v/>
      </c>
      <c r="AO68" s="603"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601" t="str">
        <f t="shared" si="29"/>
        <v/>
      </c>
      <c r="AZ68" s="686"/>
      <c r="BA68" s="579">
        <v>3</v>
      </c>
      <c r="BB68" s="581" t="str">
        <f t="shared" si="30"/>
        <v/>
      </c>
      <c r="BC68" s="581" t="str">
        <f t="shared" si="31"/>
        <v/>
      </c>
      <c r="BD68" s="581" t="str">
        <f t="shared" si="32"/>
        <v/>
      </c>
      <c r="BE68" s="581" t="str">
        <f t="shared" si="33"/>
        <v/>
      </c>
      <c r="BF68" s="581" t="str">
        <f t="shared" si="34"/>
        <v/>
      </c>
      <c r="BG68" s="581" t="str">
        <f t="shared" si="35"/>
        <v/>
      </c>
      <c r="BH68" s="581" t="str">
        <f t="shared" si="36"/>
        <v/>
      </c>
      <c r="BI68" s="581" t="str">
        <f t="shared" si="37"/>
        <v/>
      </c>
      <c r="BJ68" s="581" t="str">
        <f t="shared" si="38"/>
        <v/>
      </c>
      <c r="BK68" s="581" t="str">
        <f t="shared" si="39"/>
        <v/>
      </c>
      <c r="BL68" s="581" t="str">
        <f t="shared" si="40"/>
        <v/>
      </c>
      <c r="BM68" s="581" t="str">
        <f t="shared" si="41"/>
        <v/>
      </c>
      <c r="BN68" s="581" t="str">
        <f t="shared" si="42"/>
        <v/>
      </c>
      <c r="BO68" s="581" t="str">
        <f t="shared" si="43"/>
        <v/>
      </c>
      <c r="BP68" s="581" t="str">
        <f t="shared" si="44"/>
        <v/>
      </c>
      <c r="BQ68" s="581" t="str">
        <f t="shared" si="45"/>
        <v/>
      </c>
      <c r="BR68" s="581" t="str">
        <f t="shared" si="46"/>
        <v/>
      </c>
      <c r="BS68" s="581" t="str">
        <f t="shared" si="47"/>
        <v/>
      </c>
      <c r="BT68" s="581" t="str">
        <f t="shared" si="48"/>
        <v/>
      </c>
      <c r="BU68" s="580" t="str">
        <f t="shared" si="49"/>
        <v/>
      </c>
      <c r="BV68" s="669" t="str">
        <f t="shared" si="50"/>
        <v/>
      </c>
      <c r="BW68" s="581" t="s">
        <v>170</v>
      </c>
      <c r="BX68" s="581">
        <f>BD64</f>
        <v>0</v>
      </c>
    </row>
    <row r="69" spans="1:76" s="520" customFormat="1" ht="15.6" customHeight="1" x14ac:dyDescent="0.25">
      <c r="B69" s="744">
        <v>4</v>
      </c>
      <c r="C69" s="605" t="str">
        <f t="shared" si="12"/>
        <v/>
      </c>
      <c r="D69" s="688" t="str">
        <f t="shared" si="13"/>
        <v/>
      </c>
      <c r="E69" s="651" t="str">
        <f t="shared" si="14"/>
        <v/>
      </c>
      <c r="F69" s="290"/>
      <c r="G69" s="289"/>
      <c r="H69" s="648" t="str">
        <f t="shared" si="15"/>
        <v/>
      </c>
      <c r="I69" s="800" t="str">
        <f t="shared" si="16"/>
        <v/>
      </c>
      <c r="J69" s="159" t="str">
        <f>IFERROR(IF(F69="","",VLOOKUP(F69,'10. Condition and Temporal'!$B$6:$F$103,5,FALSE)), "Error ▲")</f>
        <v/>
      </c>
      <c r="K69" s="158"/>
      <c r="L69" s="763" t="str">
        <f t="shared" si="17"/>
        <v/>
      </c>
      <c r="M69" s="329" t="str">
        <f t="shared" si="18"/>
        <v/>
      </c>
      <c r="N69" s="157"/>
      <c r="O69" s="560"/>
      <c r="P69" s="508"/>
      <c r="R69" s="410"/>
      <c r="T69" s="662" t="str">
        <f t="shared" si="19"/>
        <v/>
      </c>
      <c r="U69" s="600" t="str">
        <f t="shared" si="20"/>
        <v/>
      </c>
      <c r="V69" s="601" t="str">
        <f t="shared" si="21"/>
        <v/>
      </c>
      <c r="W69" s="600" t="str">
        <f t="shared" si="21"/>
        <v/>
      </c>
      <c r="X69" s="581" t="str">
        <f t="shared" si="21"/>
        <v/>
      </c>
      <c r="Y69" s="823"/>
      <c r="Z69" s="823"/>
      <c r="AA69" s="823"/>
      <c r="AB69" s="581" t="str">
        <f t="shared" si="22"/>
        <v/>
      </c>
      <c r="AC69" s="602" t="str">
        <f t="shared" si="23"/>
        <v/>
      </c>
      <c r="AD69" s="601" t="str">
        <f t="shared" si="24"/>
        <v/>
      </c>
      <c r="AE69" s="664" t="str">
        <f t="shared" si="25"/>
        <v/>
      </c>
      <c r="AF69" s="599" t="str">
        <f t="shared" si="26"/>
        <v/>
      </c>
      <c r="AG69" s="600" t="str">
        <f>IF(D69="","",VLOOKUP(F69,'9. All Habitats + Multipliers'!$C$4:$K$102,5,FALSE))</f>
        <v/>
      </c>
      <c r="AH69" s="601" t="str">
        <f>IF(AG69="","",VLOOKUP(AG69,'11. Lists'!$S$47:$U$50,2,FALSE))</f>
        <v/>
      </c>
      <c r="AI69" s="599" t="str">
        <f t="shared" si="27"/>
        <v/>
      </c>
      <c r="AJ69" s="579" t="str">
        <f>IF(AI69="","",VLOOKUP(AI69,'11. Lists'!$F$47:$G$51,2,FALSE))</f>
        <v/>
      </c>
      <c r="AK69" s="823"/>
      <c r="AL69" s="823"/>
      <c r="AM69" s="823"/>
      <c r="AN69" s="580" t="str">
        <f t="shared" si="28"/>
        <v/>
      </c>
      <c r="AO69" s="603"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601" t="str">
        <f t="shared" si="29"/>
        <v/>
      </c>
      <c r="AZ69" s="686"/>
      <c r="BA69" s="579">
        <v>4</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171</v>
      </c>
      <c r="BX69" s="581">
        <f>BE64</f>
        <v>0</v>
      </c>
    </row>
    <row r="70" spans="1:76" s="520" customFormat="1" ht="15.6" customHeight="1" x14ac:dyDescent="0.25">
      <c r="B70" s="744">
        <v>5</v>
      </c>
      <c r="C70" s="605" t="str">
        <f t="shared" si="12"/>
        <v/>
      </c>
      <c r="D70" s="688" t="str">
        <f t="shared" si="13"/>
        <v/>
      </c>
      <c r="E70" s="651" t="str">
        <f t="shared" si="14"/>
        <v/>
      </c>
      <c r="F70" s="290"/>
      <c r="G70" s="289"/>
      <c r="H70" s="648" t="str">
        <f t="shared" si="15"/>
        <v/>
      </c>
      <c r="I70" s="800" t="str">
        <f t="shared" si="16"/>
        <v/>
      </c>
      <c r="J70" s="159" t="str">
        <f>IFERROR(IF(F70="","",VLOOKUP(F70,'10. Condition and Temporal'!$B$6:$F$103,5,FALSE)), "Error ▲")</f>
        <v/>
      </c>
      <c r="K70" s="158"/>
      <c r="L70" s="763" t="str">
        <f t="shared" si="17"/>
        <v/>
      </c>
      <c r="M70" s="329" t="str">
        <f t="shared" si="18"/>
        <v/>
      </c>
      <c r="N70" s="157"/>
      <c r="O70" s="560"/>
      <c r="P70" s="508"/>
      <c r="R70" s="410"/>
      <c r="T70" s="662" t="str">
        <f t="shared" si="19"/>
        <v/>
      </c>
      <c r="U70" s="600" t="str">
        <f t="shared" si="20"/>
        <v/>
      </c>
      <c r="V70" s="601" t="str">
        <f t="shared" si="21"/>
        <v/>
      </c>
      <c r="W70" s="600" t="str">
        <f t="shared" si="21"/>
        <v/>
      </c>
      <c r="X70" s="581" t="str">
        <f t="shared" si="21"/>
        <v/>
      </c>
      <c r="Y70" s="823"/>
      <c r="Z70" s="823"/>
      <c r="AA70" s="823"/>
      <c r="AB70" s="581" t="str">
        <f t="shared" si="22"/>
        <v/>
      </c>
      <c r="AC70" s="602" t="str">
        <f t="shared" si="23"/>
        <v/>
      </c>
      <c r="AD70" s="601" t="str">
        <f t="shared" si="24"/>
        <v/>
      </c>
      <c r="AE70" s="664" t="str">
        <f t="shared" si="25"/>
        <v/>
      </c>
      <c r="AF70" s="599" t="str">
        <f t="shared" si="26"/>
        <v/>
      </c>
      <c r="AG70" s="600" t="str">
        <f>IF(D70="","",VLOOKUP(F70,'9. All Habitats + Multipliers'!$C$4:$K$102,5,FALSE))</f>
        <v/>
      </c>
      <c r="AH70" s="601" t="str">
        <f>IF(AG70="","",VLOOKUP(AG70,'11. Lists'!$S$47:$U$50,2,FALSE))</f>
        <v/>
      </c>
      <c r="AI70" s="599" t="str">
        <f t="shared" si="27"/>
        <v/>
      </c>
      <c r="AJ70" s="579" t="str">
        <f>IF(AI70="","",VLOOKUP(AI70,'11. Lists'!$F$47:$G$51,2,FALSE))</f>
        <v/>
      </c>
      <c r="AK70" s="823"/>
      <c r="AL70" s="823"/>
      <c r="AM70" s="823"/>
      <c r="AN70" s="580" t="str">
        <f t="shared" si="28"/>
        <v/>
      </c>
      <c r="AO70" s="603"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601" t="str">
        <f t="shared" si="29"/>
        <v/>
      </c>
      <c r="AZ70" s="686"/>
      <c r="BA70" s="579">
        <v>5</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172</v>
      </c>
      <c r="BX70" s="581">
        <f>BF64</f>
        <v>0</v>
      </c>
    </row>
    <row r="71" spans="1:76" s="520" customFormat="1" ht="15.6" customHeight="1" x14ac:dyDescent="0.25">
      <c r="B71" s="744">
        <v>6</v>
      </c>
      <c r="C71" s="605" t="str">
        <f t="shared" si="12"/>
        <v/>
      </c>
      <c r="D71" s="688" t="str">
        <f t="shared" si="13"/>
        <v/>
      </c>
      <c r="E71" s="651" t="str">
        <f t="shared" si="14"/>
        <v/>
      </c>
      <c r="F71" s="290"/>
      <c r="G71" s="289"/>
      <c r="H71" s="648" t="str">
        <f t="shared" si="15"/>
        <v/>
      </c>
      <c r="I71" s="800" t="str">
        <f t="shared" si="16"/>
        <v/>
      </c>
      <c r="J71" s="159" t="str">
        <f>IFERROR(IF(F71="","",VLOOKUP(F71,'10. Condition and Temporal'!$B$6:$F$103,5,FALSE)), "Error ▲")</f>
        <v/>
      </c>
      <c r="K71" s="158"/>
      <c r="L71" s="763" t="str">
        <f t="shared" si="17"/>
        <v/>
      </c>
      <c r="M71" s="329" t="str">
        <f t="shared" si="18"/>
        <v/>
      </c>
      <c r="N71" s="157"/>
      <c r="O71" s="560"/>
      <c r="P71" s="508"/>
      <c r="R71" s="410"/>
      <c r="T71" s="662" t="str">
        <f t="shared" si="19"/>
        <v/>
      </c>
      <c r="U71" s="600" t="str">
        <f t="shared" si="20"/>
        <v/>
      </c>
      <c r="V71" s="601" t="str">
        <f t="shared" si="21"/>
        <v/>
      </c>
      <c r="W71" s="600" t="str">
        <f t="shared" si="21"/>
        <v/>
      </c>
      <c r="X71" s="581" t="str">
        <f t="shared" si="21"/>
        <v/>
      </c>
      <c r="Y71" s="823"/>
      <c r="Z71" s="823"/>
      <c r="AA71" s="823"/>
      <c r="AB71" s="581" t="str">
        <f t="shared" si="22"/>
        <v/>
      </c>
      <c r="AC71" s="602" t="str">
        <f t="shared" si="23"/>
        <v/>
      </c>
      <c r="AD71" s="601" t="str">
        <f t="shared" si="24"/>
        <v/>
      </c>
      <c r="AE71" s="664" t="str">
        <f t="shared" si="25"/>
        <v/>
      </c>
      <c r="AF71" s="599" t="str">
        <f t="shared" si="26"/>
        <v/>
      </c>
      <c r="AG71" s="600" t="str">
        <f>IF(D71="","",VLOOKUP(F71,'9. All Habitats + Multipliers'!$C$4:$K$102,5,FALSE))</f>
        <v/>
      </c>
      <c r="AH71" s="601" t="str">
        <f>IF(AG71="","",VLOOKUP(AG71,'11. Lists'!$S$47:$U$50,2,FALSE))</f>
        <v/>
      </c>
      <c r="AI71" s="599" t="str">
        <f t="shared" si="27"/>
        <v/>
      </c>
      <c r="AJ71" s="579" t="str">
        <f>IF(AI71="","",VLOOKUP(AI71,'11. Lists'!$F$47:$G$51,2,FALSE))</f>
        <v/>
      </c>
      <c r="AK71" s="823"/>
      <c r="AL71" s="823"/>
      <c r="AM71" s="823"/>
      <c r="AN71" s="580" t="str">
        <f t="shared" si="28"/>
        <v/>
      </c>
      <c r="AO71" s="603"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601" t="str">
        <f t="shared" si="29"/>
        <v/>
      </c>
      <c r="AZ71" s="686"/>
      <c r="BA71" s="579">
        <v>6</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173</v>
      </c>
      <c r="BX71" s="581">
        <f>BG64</f>
        <v>0</v>
      </c>
    </row>
    <row r="72" spans="1:76" s="520" customFormat="1" ht="15.6" customHeight="1" x14ac:dyDescent="0.25">
      <c r="B72" s="744">
        <v>7</v>
      </c>
      <c r="C72" s="605" t="str">
        <f t="shared" si="12"/>
        <v/>
      </c>
      <c r="D72" s="688" t="str">
        <f t="shared" si="13"/>
        <v/>
      </c>
      <c r="E72" s="651" t="str">
        <f t="shared" si="14"/>
        <v/>
      </c>
      <c r="F72" s="290"/>
      <c r="G72" s="289"/>
      <c r="H72" s="648" t="str">
        <f t="shared" si="15"/>
        <v/>
      </c>
      <c r="I72" s="800" t="str">
        <f t="shared" si="16"/>
        <v/>
      </c>
      <c r="J72" s="159" t="str">
        <f>IFERROR(IF(F72="","",VLOOKUP(F72,'10. Condition and Temporal'!$B$6:$F$103,5,FALSE)), "Error ▲")</f>
        <v/>
      </c>
      <c r="K72" s="158"/>
      <c r="L72" s="763" t="str">
        <f t="shared" si="17"/>
        <v/>
      </c>
      <c r="M72" s="329" t="str">
        <f t="shared" si="18"/>
        <v/>
      </c>
      <c r="N72" s="157"/>
      <c r="O72" s="560"/>
      <c r="P72" s="508"/>
      <c r="R72" s="410"/>
      <c r="T72" s="662" t="str">
        <f t="shared" si="19"/>
        <v/>
      </c>
      <c r="U72" s="600" t="str">
        <f t="shared" si="20"/>
        <v/>
      </c>
      <c r="V72" s="601" t="str">
        <f t="shared" si="21"/>
        <v/>
      </c>
      <c r="W72" s="600" t="str">
        <f t="shared" si="21"/>
        <v/>
      </c>
      <c r="X72" s="581" t="str">
        <f t="shared" si="21"/>
        <v/>
      </c>
      <c r="Y72" s="823"/>
      <c r="Z72" s="823"/>
      <c r="AA72" s="823"/>
      <c r="AB72" s="581" t="str">
        <f t="shared" si="22"/>
        <v/>
      </c>
      <c r="AC72" s="602" t="str">
        <f t="shared" si="23"/>
        <v/>
      </c>
      <c r="AD72" s="601" t="str">
        <f t="shared" si="24"/>
        <v/>
      </c>
      <c r="AE72" s="664" t="str">
        <f t="shared" si="25"/>
        <v/>
      </c>
      <c r="AF72" s="599" t="str">
        <f t="shared" si="26"/>
        <v/>
      </c>
      <c r="AG72" s="600" t="str">
        <f>IF(D72="","",VLOOKUP(F72,'9. All Habitats + Multipliers'!$C$4:$K$102,5,FALSE))</f>
        <v/>
      </c>
      <c r="AH72" s="601" t="str">
        <f>IF(AG72="","",VLOOKUP(AG72,'11. Lists'!$S$47:$U$50,2,FALSE))</f>
        <v/>
      </c>
      <c r="AI72" s="599" t="str">
        <f t="shared" si="27"/>
        <v/>
      </c>
      <c r="AJ72" s="579" t="str">
        <f>IF(AI72="","",VLOOKUP(AI72,'11. Lists'!$F$47:$G$51,2,FALSE))</f>
        <v/>
      </c>
      <c r="AK72" s="823"/>
      <c r="AL72" s="823"/>
      <c r="AM72" s="823"/>
      <c r="AN72" s="580" t="str">
        <f t="shared" si="28"/>
        <v/>
      </c>
      <c r="AO72" s="603"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601" t="str">
        <f t="shared" si="29"/>
        <v/>
      </c>
      <c r="AZ72" s="686"/>
      <c r="BA72" s="579">
        <v>7</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174</v>
      </c>
      <c r="BX72" s="581">
        <f>BH64</f>
        <v>0</v>
      </c>
    </row>
    <row r="73" spans="1:76" s="520" customFormat="1" ht="15.6" customHeight="1" x14ac:dyDescent="0.25">
      <c r="B73" s="744">
        <v>8</v>
      </c>
      <c r="C73" s="605" t="str">
        <f t="shared" si="12"/>
        <v/>
      </c>
      <c r="D73" s="688" t="str">
        <f t="shared" si="13"/>
        <v/>
      </c>
      <c r="E73" s="651" t="str">
        <f t="shared" si="14"/>
        <v/>
      </c>
      <c r="F73" s="290"/>
      <c r="G73" s="289"/>
      <c r="H73" s="648" t="str">
        <f t="shared" si="15"/>
        <v/>
      </c>
      <c r="I73" s="800" t="str">
        <f t="shared" si="16"/>
        <v/>
      </c>
      <c r="J73" s="159" t="str">
        <f>IFERROR(IF(F73="","",VLOOKUP(F73,'10. Condition and Temporal'!$B$6:$F$103,5,FALSE)), "Error ▲")</f>
        <v/>
      </c>
      <c r="K73" s="158"/>
      <c r="L73" s="763" t="str">
        <f t="shared" si="17"/>
        <v/>
      </c>
      <c r="M73" s="329" t="str">
        <f t="shared" si="18"/>
        <v/>
      </c>
      <c r="N73" s="157"/>
      <c r="O73" s="560"/>
      <c r="P73" s="508"/>
      <c r="R73" s="410"/>
      <c r="T73" s="662" t="str">
        <f t="shared" si="19"/>
        <v/>
      </c>
      <c r="U73" s="600" t="str">
        <f t="shared" si="20"/>
        <v/>
      </c>
      <c r="V73" s="601" t="str">
        <f t="shared" si="21"/>
        <v/>
      </c>
      <c r="W73" s="600" t="str">
        <f t="shared" si="21"/>
        <v/>
      </c>
      <c r="X73" s="581" t="str">
        <f t="shared" si="21"/>
        <v/>
      </c>
      <c r="Y73" s="823"/>
      <c r="Z73" s="823"/>
      <c r="AA73" s="823"/>
      <c r="AB73" s="581" t="str">
        <f t="shared" si="22"/>
        <v/>
      </c>
      <c r="AC73" s="602" t="str">
        <f t="shared" si="23"/>
        <v/>
      </c>
      <c r="AD73" s="601" t="str">
        <f t="shared" si="24"/>
        <v/>
      </c>
      <c r="AE73" s="664" t="str">
        <f t="shared" si="25"/>
        <v/>
      </c>
      <c r="AF73" s="599" t="str">
        <f t="shared" si="26"/>
        <v/>
      </c>
      <c r="AG73" s="600" t="str">
        <f>IF(D73="","",VLOOKUP(F73,'9. All Habitats + Multipliers'!$C$4:$K$102,5,FALSE))</f>
        <v/>
      </c>
      <c r="AH73" s="601" t="str">
        <f>IF(AG73="","",VLOOKUP(AG73,'11. Lists'!$S$47:$U$50,2,FALSE))</f>
        <v/>
      </c>
      <c r="AI73" s="599" t="str">
        <f t="shared" si="27"/>
        <v/>
      </c>
      <c r="AJ73" s="579" t="str">
        <f>IF(AI73="","",VLOOKUP(AI73,'11. Lists'!$F$47:$G$51,2,FALSE))</f>
        <v/>
      </c>
      <c r="AK73" s="823"/>
      <c r="AL73" s="823"/>
      <c r="AM73" s="823"/>
      <c r="AN73" s="580" t="str">
        <f t="shared" si="28"/>
        <v/>
      </c>
      <c r="AO73" s="603"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601" t="str">
        <f t="shared" si="29"/>
        <v/>
      </c>
      <c r="AZ73" s="686"/>
      <c r="BA73" s="579">
        <v>8</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175</v>
      </c>
      <c r="BX73" s="581">
        <f>BI64</f>
        <v>0</v>
      </c>
    </row>
    <row r="74" spans="1:76" s="520" customFormat="1" ht="15.6" customHeight="1" x14ac:dyDescent="0.25">
      <c r="B74" s="744">
        <v>9</v>
      </c>
      <c r="C74" s="605" t="str">
        <f t="shared" si="12"/>
        <v/>
      </c>
      <c r="D74" s="688" t="str">
        <f t="shared" si="13"/>
        <v/>
      </c>
      <c r="E74" s="651" t="str">
        <f t="shared" si="14"/>
        <v/>
      </c>
      <c r="F74" s="290"/>
      <c r="G74" s="289"/>
      <c r="H74" s="648" t="str">
        <f t="shared" si="15"/>
        <v/>
      </c>
      <c r="I74" s="800" t="str">
        <f t="shared" si="16"/>
        <v/>
      </c>
      <c r="J74" s="159" t="str">
        <f>IFERROR(IF(F74="","",VLOOKUP(F74,'10. Condition and Temporal'!$B$6:$F$103,5,FALSE)), "Error ▲")</f>
        <v/>
      </c>
      <c r="K74" s="158"/>
      <c r="L74" s="763" t="str">
        <f t="shared" si="17"/>
        <v/>
      </c>
      <c r="M74" s="329" t="str">
        <f t="shared" si="18"/>
        <v/>
      </c>
      <c r="N74" s="157"/>
      <c r="O74" s="560"/>
      <c r="P74" s="508"/>
      <c r="R74" s="410"/>
      <c r="T74" s="662" t="str">
        <f t="shared" si="19"/>
        <v/>
      </c>
      <c r="U74" s="600" t="str">
        <f t="shared" si="20"/>
        <v/>
      </c>
      <c r="V74" s="601" t="str">
        <f t="shared" si="21"/>
        <v/>
      </c>
      <c r="W74" s="600" t="str">
        <f t="shared" si="21"/>
        <v/>
      </c>
      <c r="X74" s="581" t="str">
        <f t="shared" si="21"/>
        <v/>
      </c>
      <c r="Y74" s="823"/>
      <c r="Z74" s="823"/>
      <c r="AA74" s="823"/>
      <c r="AB74" s="581" t="str">
        <f t="shared" si="22"/>
        <v/>
      </c>
      <c r="AC74" s="602" t="str">
        <f t="shared" si="23"/>
        <v/>
      </c>
      <c r="AD74" s="601" t="str">
        <f t="shared" si="24"/>
        <v/>
      </c>
      <c r="AE74" s="664" t="str">
        <f t="shared" si="25"/>
        <v/>
      </c>
      <c r="AF74" s="599" t="str">
        <f t="shared" si="26"/>
        <v/>
      </c>
      <c r="AG74" s="600" t="str">
        <f>IF(D74="","",VLOOKUP(F74,'9. All Habitats + Multipliers'!$C$4:$K$102,5,FALSE))</f>
        <v/>
      </c>
      <c r="AH74" s="601" t="str">
        <f>IF(AG74="","",VLOOKUP(AG74,'11. Lists'!$S$47:$U$50,2,FALSE))</f>
        <v/>
      </c>
      <c r="AI74" s="599" t="str">
        <f t="shared" si="27"/>
        <v/>
      </c>
      <c r="AJ74" s="579" t="str">
        <f>IF(AI74="","",VLOOKUP(AI74,'11. Lists'!$F$47:$G$51,2,FALSE))</f>
        <v/>
      </c>
      <c r="AK74" s="823"/>
      <c r="AL74" s="823"/>
      <c r="AM74" s="823"/>
      <c r="AN74" s="580" t="str">
        <f t="shared" si="28"/>
        <v/>
      </c>
      <c r="AO74" s="603"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601" t="str">
        <f t="shared" si="29"/>
        <v/>
      </c>
      <c r="AZ74" s="686"/>
      <c r="BA74" s="579">
        <v>9</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176</v>
      </c>
      <c r="BX74" s="581">
        <f>BJ64</f>
        <v>0</v>
      </c>
    </row>
    <row r="75" spans="1:76" s="520" customFormat="1" ht="15.6" customHeight="1" x14ac:dyDescent="0.25">
      <c r="B75" s="744">
        <v>10</v>
      </c>
      <c r="C75" s="605" t="str">
        <f t="shared" si="12"/>
        <v/>
      </c>
      <c r="D75" s="688" t="str">
        <f t="shared" si="13"/>
        <v/>
      </c>
      <c r="E75" s="651" t="str">
        <f t="shared" si="14"/>
        <v/>
      </c>
      <c r="F75" s="290"/>
      <c r="G75" s="289"/>
      <c r="H75" s="648" t="str">
        <f t="shared" si="15"/>
        <v/>
      </c>
      <c r="I75" s="800" t="str">
        <f t="shared" si="16"/>
        <v/>
      </c>
      <c r="J75" s="159" t="str">
        <f>IFERROR(IF(F75="","",VLOOKUP(F75,'10. Condition and Temporal'!$B$6:$F$103,5,FALSE)), "Error ▲")</f>
        <v/>
      </c>
      <c r="K75" s="158"/>
      <c r="L75" s="763" t="str">
        <f t="shared" si="17"/>
        <v/>
      </c>
      <c r="M75" s="329" t="str">
        <f t="shared" si="18"/>
        <v/>
      </c>
      <c r="N75" s="157"/>
      <c r="O75" s="560"/>
      <c r="P75" s="508"/>
      <c r="R75" s="410"/>
      <c r="T75" s="662" t="str">
        <f t="shared" si="19"/>
        <v/>
      </c>
      <c r="U75" s="600" t="str">
        <f t="shared" si="20"/>
        <v/>
      </c>
      <c r="V75" s="601" t="str">
        <f t="shared" si="21"/>
        <v/>
      </c>
      <c r="W75" s="600" t="str">
        <f t="shared" si="21"/>
        <v/>
      </c>
      <c r="X75" s="581" t="str">
        <f t="shared" si="21"/>
        <v/>
      </c>
      <c r="Y75" s="823"/>
      <c r="Z75" s="823"/>
      <c r="AA75" s="823"/>
      <c r="AB75" s="581" t="str">
        <f t="shared" si="22"/>
        <v/>
      </c>
      <c r="AC75" s="602" t="str">
        <f t="shared" si="23"/>
        <v/>
      </c>
      <c r="AD75" s="601" t="str">
        <f t="shared" si="24"/>
        <v/>
      </c>
      <c r="AE75" s="664" t="str">
        <f t="shared" si="25"/>
        <v/>
      </c>
      <c r="AF75" s="599" t="str">
        <f t="shared" si="26"/>
        <v/>
      </c>
      <c r="AG75" s="600" t="str">
        <f>IF(D75="","",VLOOKUP(F75,'9. All Habitats + Multipliers'!$C$4:$K$102,5,FALSE))</f>
        <v/>
      </c>
      <c r="AH75" s="601" t="str">
        <f>IF(AG75="","",VLOOKUP(AG75,'11. Lists'!$S$47:$U$50,2,FALSE))</f>
        <v/>
      </c>
      <c r="AI75" s="599" t="str">
        <f t="shared" si="27"/>
        <v/>
      </c>
      <c r="AJ75" s="579" t="str">
        <f>IF(AI75="","",VLOOKUP(AI75,'11. Lists'!$F$47:$G$51,2,FALSE))</f>
        <v/>
      </c>
      <c r="AK75" s="823"/>
      <c r="AL75" s="823"/>
      <c r="AM75" s="823"/>
      <c r="AN75" s="580" t="str">
        <f t="shared" si="28"/>
        <v/>
      </c>
      <c r="AO75" s="603"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601" t="str">
        <f t="shared" si="29"/>
        <v/>
      </c>
      <c r="AZ75" s="686"/>
      <c r="BA75" s="579">
        <v>10</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177</v>
      </c>
      <c r="BX75" s="581">
        <f>BK64</f>
        <v>0</v>
      </c>
    </row>
    <row r="76" spans="1:76" s="520" customFormat="1" ht="15.6" customHeight="1" x14ac:dyDescent="0.25">
      <c r="B76" s="744">
        <v>11</v>
      </c>
      <c r="C76" s="605" t="str">
        <f t="shared" si="12"/>
        <v/>
      </c>
      <c r="D76" s="688" t="str">
        <f t="shared" si="13"/>
        <v/>
      </c>
      <c r="E76" s="651" t="str">
        <f t="shared" si="14"/>
        <v/>
      </c>
      <c r="F76" s="290"/>
      <c r="G76" s="289"/>
      <c r="H76" s="648" t="str">
        <f t="shared" si="15"/>
        <v/>
      </c>
      <c r="I76" s="800" t="str">
        <f t="shared" si="16"/>
        <v/>
      </c>
      <c r="J76" s="159" t="str">
        <f>IFERROR(IF(F76="","",VLOOKUP(F76,'10. Condition and Temporal'!$B$6:$F$103,5,FALSE)), "Error ▲")</f>
        <v/>
      </c>
      <c r="K76" s="158"/>
      <c r="L76" s="763" t="str">
        <f t="shared" si="17"/>
        <v/>
      </c>
      <c r="M76" s="329" t="str">
        <f t="shared" si="18"/>
        <v/>
      </c>
      <c r="N76" s="157"/>
      <c r="O76" s="560"/>
      <c r="P76" s="508"/>
      <c r="R76" s="410"/>
      <c r="T76" s="662" t="str">
        <f t="shared" si="19"/>
        <v/>
      </c>
      <c r="U76" s="600" t="str">
        <f t="shared" si="20"/>
        <v/>
      </c>
      <c r="V76" s="601" t="str">
        <f t="shared" si="21"/>
        <v/>
      </c>
      <c r="W76" s="600" t="str">
        <f t="shared" si="21"/>
        <v/>
      </c>
      <c r="X76" s="581" t="str">
        <f t="shared" si="21"/>
        <v/>
      </c>
      <c r="Y76" s="823"/>
      <c r="Z76" s="823"/>
      <c r="AA76" s="823"/>
      <c r="AB76" s="581" t="str">
        <f t="shared" si="22"/>
        <v/>
      </c>
      <c r="AC76" s="602" t="str">
        <f t="shared" si="23"/>
        <v/>
      </c>
      <c r="AD76" s="601" t="str">
        <f t="shared" si="24"/>
        <v/>
      </c>
      <c r="AE76" s="664" t="str">
        <f t="shared" si="25"/>
        <v/>
      </c>
      <c r="AF76" s="599" t="str">
        <f t="shared" si="26"/>
        <v/>
      </c>
      <c r="AG76" s="600" t="str">
        <f>IF(D76="","",VLOOKUP(F76,'9. All Habitats + Multipliers'!$C$4:$K$102,5,FALSE))</f>
        <v/>
      </c>
      <c r="AH76" s="601" t="str">
        <f>IF(AG76="","",VLOOKUP(AG76,'11. Lists'!$S$47:$U$50,2,FALSE))</f>
        <v/>
      </c>
      <c r="AI76" s="599" t="str">
        <f t="shared" si="27"/>
        <v/>
      </c>
      <c r="AJ76" s="579" t="str">
        <f>IF(AI76="","",VLOOKUP(AI76,'11. Lists'!$F$47:$G$51,2,FALSE))</f>
        <v/>
      </c>
      <c r="AK76" s="823"/>
      <c r="AL76" s="823"/>
      <c r="AM76" s="823"/>
      <c r="AN76" s="580" t="str">
        <f t="shared" si="28"/>
        <v/>
      </c>
      <c r="AO76" s="603"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601" t="str">
        <f t="shared" si="29"/>
        <v/>
      </c>
      <c r="AZ76" s="686"/>
      <c r="BA76" s="579">
        <v>11</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178</v>
      </c>
      <c r="BX76" s="581">
        <f>BL64</f>
        <v>0</v>
      </c>
    </row>
    <row r="77" spans="1:76" s="520" customFormat="1" ht="15.6" customHeight="1" x14ac:dyDescent="0.25">
      <c r="B77" s="744">
        <v>12</v>
      </c>
      <c r="C77" s="605" t="str">
        <f t="shared" si="12"/>
        <v/>
      </c>
      <c r="D77" s="688" t="str">
        <f t="shared" si="13"/>
        <v/>
      </c>
      <c r="E77" s="651" t="str">
        <f t="shared" si="14"/>
        <v/>
      </c>
      <c r="F77" s="290"/>
      <c r="G77" s="289"/>
      <c r="H77" s="648" t="str">
        <f t="shared" si="15"/>
        <v/>
      </c>
      <c r="I77" s="800" t="str">
        <f t="shared" si="16"/>
        <v/>
      </c>
      <c r="J77" s="159" t="str">
        <f>IFERROR(IF(F77="","",VLOOKUP(F77,'10. Condition and Temporal'!$B$6:$F$103,5,FALSE)), "Error ▲")</f>
        <v/>
      </c>
      <c r="K77" s="158"/>
      <c r="L77" s="763" t="str">
        <f t="shared" si="17"/>
        <v/>
      </c>
      <c r="M77" s="329" t="str">
        <f t="shared" si="18"/>
        <v/>
      </c>
      <c r="N77" s="157"/>
      <c r="O77" s="560"/>
      <c r="P77" s="508"/>
      <c r="R77" s="410"/>
      <c r="T77" s="662" t="str">
        <f t="shared" si="19"/>
        <v/>
      </c>
      <c r="U77" s="600" t="str">
        <f t="shared" si="20"/>
        <v/>
      </c>
      <c r="V77" s="601" t="str">
        <f t="shared" si="21"/>
        <v/>
      </c>
      <c r="W77" s="600" t="str">
        <f t="shared" si="21"/>
        <v/>
      </c>
      <c r="X77" s="581" t="str">
        <f t="shared" si="21"/>
        <v/>
      </c>
      <c r="Y77" s="823"/>
      <c r="Z77" s="823"/>
      <c r="AA77" s="823"/>
      <c r="AB77" s="581" t="str">
        <f t="shared" si="22"/>
        <v/>
      </c>
      <c r="AC77" s="602" t="str">
        <f t="shared" si="23"/>
        <v/>
      </c>
      <c r="AD77" s="601" t="str">
        <f t="shared" si="24"/>
        <v/>
      </c>
      <c r="AE77" s="664" t="str">
        <f t="shared" si="25"/>
        <v/>
      </c>
      <c r="AF77" s="599" t="str">
        <f t="shared" si="26"/>
        <v/>
      </c>
      <c r="AG77" s="600" t="str">
        <f>IF(D77="","",VLOOKUP(F77,'9. All Habitats + Multipliers'!$C$4:$K$102,5,FALSE))</f>
        <v/>
      </c>
      <c r="AH77" s="601" t="str">
        <f>IF(AG77="","",VLOOKUP(AG77,'11. Lists'!$S$47:$U$50,2,FALSE))</f>
        <v/>
      </c>
      <c r="AI77" s="599" t="str">
        <f t="shared" si="27"/>
        <v/>
      </c>
      <c r="AJ77" s="579" t="str">
        <f>IF(AI77="","",VLOOKUP(AI77,'11. Lists'!$F$47:$G$51,2,FALSE))</f>
        <v/>
      </c>
      <c r="AK77" s="823"/>
      <c r="AL77" s="823"/>
      <c r="AM77" s="823"/>
      <c r="AN77" s="580" t="str">
        <f t="shared" si="28"/>
        <v/>
      </c>
      <c r="AO77" s="603"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601" t="str">
        <f t="shared" si="29"/>
        <v/>
      </c>
      <c r="AZ77" s="686"/>
      <c r="BA77" s="579">
        <v>12</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179</v>
      </c>
      <c r="BX77" s="581">
        <f>BM64</f>
        <v>0</v>
      </c>
    </row>
    <row r="78" spans="1:76" s="520" customFormat="1" ht="15.6" customHeight="1" x14ac:dyDescent="0.25">
      <c r="B78" s="744">
        <v>13</v>
      </c>
      <c r="C78" s="605" t="str">
        <f t="shared" si="12"/>
        <v/>
      </c>
      <c r="D78" s="688" t="str">
        <f t="shared" si="13"/>
        <v/>
      </c>
      <c r="E78" s="651" t="str">
        <f t="shared" si="14"/>
        <v/>
      </c>
      <c r="F78" s="290"/>
      <c r="G78" s="289"/>
      <c r="H78" s="648" t="str">
        <f t="shared" si="15"/>
        <v/>
      </c>
      <c r="I78" s="800" t="str">
        <f t="shared" si="16"/>
        <v/>
      </c>
      <c r="J78" s="159" t="str">
        <f>IFERROR(IF(F78="","",VLOOKUP(F78,'10. Condition and Temporal'!$B$6:$F$103,5,FALSE)), "Error ▲")</f>
        <v/>
      </c>
      <c r="K78" s="158"/>
      <c r="L78" s="763" t="str">
        <f t="shared" si="17"/>
        <v/>
      </c>
      <c r="M78" s="329" t="str">
        <f t="shared" si="18"/>
        <v/>
      </c>
      <c r="N78" s="157"/>
      <c r="O78" s="560"/>
      <c r="P78" s="508"/>
      <c r="R78" s="410"/>
      <c r="T78" s="662" t="str">
        <f t="shared" si="19"/>
        <v/>
      </c>
      <c r="U78" s="600" t="str">
        <f t="shared" si="20"/>
        <v/>
      </c>
      <c r="V78" s="601" t="str">
        <f t="shared" si="21"/>
        <v/>
      </c>
      <c r="W78" s="600" t="str">
        <f t="shared" si="21"/>
        <v/>
      </c>
      <c r="X78" s="581" t="str">
        <f t="shared" si="21"/>
        <v/>
      </c>
      <c r="Y78" s="823"/>
      <c r="Z78" s="823"/>
      <c r="AA78" s="823"/>
      <c r="AB78" s="581" t="str">
        <f t="shared" si="22"/>
        <v/>
      </c>
      <c r="AC78" s="602" t="str">
        <f t="shared" si="23"/>
        <v/>
      </c>
      <c r="AD78" s="601" t="str">
        <f t="shared" si="24"/>
        <v/>
      </c>
      <c r="AE78" s="664" t="str">
        <f t="shared" si="25"/>
        <v/>
      </c>
      <c r="AF78" s="599" t="str">
        <f t="shared" si="26"/>
        <v/>
      </c>
      <c r="AG78" s="600" t="str">
        <f>IF(D78="","",VLOOKUP(F78,'9. All Habitats + Multipliers'!$C$4:$K$102,5,FALSE))</f>
        <v/>
      </c>
      <c r="AH78" s="601" t="str">
        <f>IF(AG78="","",VLOOKUP(AG78,'11. Lists'!$S$47:$U$50,2,FALSE))</f>
        <v/>
      </c>
      <c r="AI78" s="599" t="str">
        <f t="shared" si="27"/>
        <v/>
      </c>
      <c r="AJ78" s="579" t="str">
        <f>IF(AI78="","",VLOOKUP(AI78,'11. Lists'!$F$47:$G$51,2,FALSE))</f>
        <v/>
      </c>
      <c r="AK78" s="823"/>
      <c r="AL78" s="823"/>
      <c r="AM78" s="823"/>
      <c r="AN78" s="580" t="str">
        <f t="shared" si="28"/>
        <v/>
      </c>
      <c r="AO78" s="603"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601" t="str">
        <f t="shared" si="29"/>
        <v/>
      </c>
      <c r="AZ78" s="686"/>
      <c r="BA78" s="579">
        <v>13</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180</v>
      </c>
      <c r="BX78" s="581">
        <f>BN64</f>
        <v>0</v>
      </c>
    </row>
    <row r="79" spans="1:76" s="520" customFormat="1" ht="15.6" customHeight="1" x14ac:dyDescent="0.25">
      <c r="B79" s="744">
        <v>14</v>
      </c>
      <c r="C79" s="605" t="str">
        <f t="shared" si="12"/>
        <v/>
      </c>
      <c r="D79" s="688" t="str">
        <f t="shared" si="13"/>
        <v/>
      </c>
      <c r="E79" s="651" t="str">
        <f t="shared" si="14"/>
        <v/>
      </c>
      <c r="F79" s="290"/>
      <c r="G79" s="289"/>
      <c r="H79" s="648" t="str">
        <f t="shared" si="15"/>
        <v/>
      </c>
      <c r="I79" s="800" t="str">
        <f t="shared" si="16"/>
        <v/>
      </c>
      <c r="J79" s="159" t="str">
        <f>IFERROR(IF(F79="","",VLOOKUP(F79,'10. Condition and Temporal'!$B$6:$F$103,5,FALSE)), "Error ▲")</f>
        <v/>
      </c>
      <c r="K79" s="158"/>
      <c r="L79" s="763" t="str">
        <f t="shared" si="17"/>
        <v/>
      </c>
      <c r="M79" s="329" t="str">
        <f t="shared" si="18"/>
        <v/>
      </c>
      <c r="N79" s="157"/>
      <c r="O79" s="560"/>
      <c r="P79" s="508"/>
      <c r="R79" s="410"/>
      <c r="T79" s="662" t="str">
        <f t="shared" si="19"/>
        <v/>
      </c>
      <c r="U79" s="600" t="str">
        <f t="shared" si="20"/>
        <v/>
      </c>
      <c r="V79" s="601" t="str">
        <f t="shared" si="21"/>
        <v/>
      </c>
      <c r="W79" s="600" t="str">
        <f t="shared" si="21"/>
        <v/>
      </c>
      <c r="X79" s="581" t="str">
        <f t="shared" si="21"/>
        <v/>
      </c>
      <c r="Y79" s="823"/>
      <c r="Z79" s="823"/>
      <c r="AA79" s="823"/>
      <c r="AB79" s="581" t="str">
        <f t="shared" si="22"/>
        <v/>
      </c>
      <c r="AC79" s="602" t="str">
        <f t="shared" si="23"/>
        <v/>
      </c>
      <c r="AD79" s="601" t="str">
        <f t="shared" si="24"/>
        <v/>
      </c>
      <c r="AE79" s="664" t="str">
        <f t="shared" si="25"/>
        <v/>
      </c>
      <c r="AF79" s="599" t="str">
        <f t="shared" si="26"/>
        <v/>
      </c>
      <c r="AG79" s="600" t="str">
        <f>IF(D79="","",VLOOKUP(F79,'9. All Habitats + Multipliers'!$C$4:$K$102,5,FALSE))</f>
        <v/>
      </c>
      <c r="AH79" s="601" t="str">
        <f>IF(AG79="","",VLOOKUP(AG79,'11. Lists'!$S$47:$U$50,2,FALSE))</f>
        <v/>
      </c>
      <c r="AI79" s="599" t="str">
        <f t="shared" si="27"/>
        <v/>
      </c>
      <c r="AJ79" s="579" t="str">
        <f>IF(AI79="","",VLOOKUP(AI79,'11. Lists'!$F$47:$G$51,2,FALSE))</f>
        <v/>
      </c>
      <c r="AK79" s="823"/>
      <c r="AL79" s="823"/>
      <c r="AM79" s="823"/>
      <c r="AN79" s="580" t="str">
        <f t="shared" si="28"/>
        <v/>
      </c>
      <c r="AO79" s="603"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601" t="str">
        <f t="shared" si="29"/>
        <v/>
      </c>
      <c r="AZ79" s="686"/>
      <c r="BA79" s="579">
        <v>14</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181</v>
      </c>
      <c r="BX79" s="581">
        <f>BO64</f>
        <v>0</v>
      </c>
    </row>
    <row r="80" spans="1:76" s="520" customFormat="1" ht="15.6" customHeight="1" x14ac:dyDescent="0.25">
      <c r="B80" s="744">
        <v>15</v>
      </c>
      <c r="C80" s="605" t="str">
        <f t="shared" si="12"/>
        <v/>
      </c>
      <c r="D80" s="688" t="str">
        <f t="shared" si="13"/>
        <v/>
      </c>
      <c r="E80" s="651" t="str">
        <f t="shared" si="14"/>
        <v/>
      </c>
      <c r="F80" s="290"/>
      <c r="G80" s="289"/>
      <c r="H80" s="648" t="str">
        <f t="shared" si="15"/>
        <v/>
      </c>
      <c r="I80" s="800" t="str">
        <f t="shared" si="16"/>
        <v/>
      </c>
      <c r="J80" s="159" t="str">
        <f>IFERROR(IF(F80="","",VLOOKUP(F80,'10. Condition and Temporal'!$B$6:$F$103,5,FALSE)), "Error ▲")</f>
        <v/>
      </c>
      <c r="K80" s="158"/>
      <c r="L80" s="763" t="str">
        <f t="shared" si="17"/>
        <v/>
      </c>
      <c r="M80" s="329" t="str">
        <f t="shared" si="18"/>
        <v/>
      </c>
      <c r="N80" s="157"/>
      <c r="O80" s="560"/>
      <c r="P80" s="508"/>
      <c r="R80" s="410"/>
      <c r="T80" s="662" t="str">
        <f t="shared" si="19"/>
        <v/>
      </c>
      <c r="U80" s="600" t="str">
        <f t="shared" si="20"/>
        <v/>
      </c>
      <c r="V80" s="601" t="str">
        <f t="shared" si="21"/>
        <v/>
      </c>
      <c r="W80" s="600" t="str">
        <f t="shared" si="21"/>
        <v/>
      </c>
      <c r="X80" s="581" t="str">
        <f t="shared" si="21"/>
        <v/>
      </c>
      <c r="Y80" s="823"/>
      <c r="Z80" s="823"/>
      <c r="AA80" s="823"/>
      <c r="AB80" s="581" t="str">
        <f t="shared" si="22"/>
        <v/>
      </c>
      <c r="AC80" s="602" t="str">
        <f t="shared" si="23"/>
        <v/>
      </c>
      <c r="AD80" s="601" t="str">
        <f t="shared" si="24"/>
        <v/>
      </c>
      <c r="AE80" s="664" t="str">
        <f t="shared" si="25"/>
        <v/>
      </c>
      <c r="AF80" s="599" t="str">
        <f t="shared" si="26"/>
        <v/>
      </c>
      <c r="AG80" s="600" t="str">
        <f>IF(D80="","",VLOOKUP(F80,'9. All Habitats + Multipliers'!$C$4:$K$102,5,FALSE))</f>
        <v/>
      </c>
      <c r="AH80" s="601" t="str">
        <f>IF(AG80="","",VLOOKUP(AG80,'11. Lists'!$S$47:$U$50,2,FALSE))</f>
        <v/>
      </c>
      <c r="AI80" s="599" t="str">
        <f t="shared" si="27"/>
        <v/>
      </c>
      <c r="AJ80" s="579" t="str">
        <f>IF(AI80="","",VLOOKUP(AI80,'11. Lists'!$F$47:$G$51,2,FALSE))</f>
        <v/>
      </c>
      <c r="AK80" s="823"/>
      <c r="AL80" s="823"/>
      <c r="AM80" s="823"/>
      <c r="AN80" s="580" t="str">
        <f t="shared" si="28"/>
        <v/>
      </c>
      <c r="AO80" s="603"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601" t="str">
        <f t="shared" si="29"/>
        <v/>
      </c>
      <c r="AZ80" s="686"/>
      <c r="BA80" s="579">
        <v>15</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182</v>
      </c>
      <c r="BX80" s="581">
        <f>BP64</f>
        <v>0</v>
      </c>
    </row>
    <row r="81" spans="1:76" s="520" customFormat="1" ht="15.6" customHeight="1" x14ac:dyDescent="0.25">
      <c r="B81" s="744">
        <v>16</v>
      </c>
      <c r="C81" s="605" t="str">
        <f t="shared" si="12"/>
        <v/>
      </c>
      <c r="D81" s="688" t="str">
        <f t="shared" si="13"/>
        <v/>
      </c>
      <c r="E81" s="651" t="str">
        <f t="shared" si="14"/>
        <v/>
      </c>
      <c r="F81" s="290"/>
      <c r="G81" s="289"/>
      <c r="H81" s="648" t="str">
        <f t="shared" si="15"/>
        <v/>
      </c>
      <c r="I81" s="800" t="str">
        <f t="shared" si="16"/>
        <v/>
      </c>
      <c r="J81" s="159" t="str">
        <f>IFERROR(IF(F81="","",VLOOKUP(F81,'10. Condition and Temporal'!$B$6:$F$103,5,FALSE)), "Error ▲")</f>
        <v/>
      </c>
      <c r="K81" s="158"/>
      <c r="L81" s="763" t="str">
        <f t="shared" si="17"/>
        <v/>
      </c>
      <c r="M81" s="329" t="str">
        <f t="shared" si="18"/>
        <v/>
      </c>
      <c r="N81" s="157"/>
      <c r="O81" s="560"/>
      <c r="P81" s="508"/>
      <c r="R81" s="410"/>
      <c r="T81" s="662" t="str">
        <f t="shared" si="19"/>
        <v/>
      </c>
      <c r="U81" s="600" t="str">
        <f t="shared" si="20"/>
        <v/>
      </c>
      <c r="V81" s="601" t="str">
        <f t="shared" si="21"/>
        <v/>
      </c>
      <c r="W81" s="600" t="str">
        <f t="shared" si="21"/>
        <v/>
      </c>
      <c r="X81" s="581" t="str">
        <f t="shared" si="21"/>
        <v/>
      </c>
      <c r="Y81" s="823"/>
      <c r="Z81" s="823"/>
      <c r="AA81" s="823"/>
      <c r="AB81" s="581" t="str">
        <f t="shared" si="22"/>
        <v/>
      </c>
      <c r="AC81" s="602" t="str">
        <f t="shared" si="23"/>
        <v/>
      </c>
      <c r="AD81" s="601" t="str">
        <f t="shared" si="24"/>
        <v/>
      </c>
      <c r="AE81" s="664" t="str">
        <f t="shared" si="25"/>
        <v/>
      </c>
      <c r="AF81" s="599" t="str">
        <f t="shared" si="26"/>
        <v/>
      </c>
      <c r="AG81" s="600" t="str">
        <f>IF(D81="","",VLOOKUP(F81,'9. All Habitats + Multipliers'!$C$4:$K$102,5,FALSE))</f>
        <v/>
      </c>
      <c r="AH81" s="601" t="str">
        <f>IF(AG81="","",VLOOKUP(AG81,'11. Lists'!$S$47:$U$50,2,FALSE))</f>
        <v/>
      </c>
      <c r="AI81" s="599" t="str">
        <f t="shared" si="27"/>
        <v/>
      </c>
      <c r="AJ81" s="579" t="str">
        <f>IF(AI81="","",VLOOKUP(AI81,'11. Lists'!$F$47:$G$51,2,FALSE))</f>
        <v/>
      </c>
      <c r="AK81" s="823"/>
      <c r="AL81" s="823"/>
      <c r="AM81" s="823"/>
      <c r="AN81" s="580" t="str">
        <f t="shared" si="28"/>
        <v/>
      </c>
      <c r="AO81" s="603"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601" t="str">
        <f t="shared" si="29"/>
        <v/>
      </c>
      <c r="AZ81" s="686"/>
      <c r="BA81" s="579">
        <v>16</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183</v>
      </c>
      <c r="BX81" s="581">
        <f>BQ64</f>
        <v>0</v>
      </c>
    </row>
    <row r="82" spans="1:76" s="520" customFormat="1" ht="15.6" customHeight="1" x14ac:dyDescent="0.25">
      <c r="B82" s="744">
        <v>17</v>
      </c>
      <c r="C82" s="605" t="str">
        <f t="shared" si="12"/>
        <v/>
      </c>
      <c r="D82" s="688" t="str">
        <f t="shared" si="13"/>
        <v/>
      </c>
      <c r="E82" s="651" t="str">
        <f t="shared" si="14"/>
        <v/>
      </c>
      <c r="F82" s="290"/>
      <c r="G82" s="289"/>
      <c r="H82" s="648" t="str">
        <f t="shared" si="15"/>
        <v/>
      </c>
      <c r="I82" s="800" t="str">
        <f t="shared" si="16"/>
        <v/>
      </c>
      <c r="J82" s="159" t="str">
        <f>IFERROR(IF(F82="","",VLOOKUP(F82,'10. Condition and Temporal'!$B$6:$F$103,5,FALSE)), "Error ▲")</f>
        <v/>
      </c>
      <c r="K82" s="158"/>
      <c r="L82" s="763" t="str">
        <f t="shared" si="17"/>
        <v/>
      </c>
      <c r="M82" s="329" t="str">
        <f t="shared" si="18"/>
        <v/>
      </c>
      <c r="N82" s="157"/>
      <c r="O82" s="560"/>
      <c r="P82" s="508"/>
      <c r="R82" s="410"/>
      <c r="T82" s="662" t="str">
        <f t="shared" si="19"/>
        <v/>
      </c>
      <c r="U82" s="600" t="str">
        <f t="shared" si="20"/>
        <v/>
      </c>
      <c r="V82" s="601" t="str">
        <f t="shared" si="21"/>
        <v/>
      </c>
      <c r="W82" s="600" t="str">
        <f t="shared" si="21"/>
        <v/>
      </c>
      <c r="X82" s="581" t="str">
        <f t="shared" si="21"/>
        <v/>
      </c>
      <c r="Y82" s="823"/>
      <c r="Z82" s="823"/>
      <c r="AA82" s="823"/>
      <c r="AB82" s="581" t="str">
        <f t="shared" si="22"/>
        <v/>
      </c>
      <c r="AC82" s="602" t="str">
        <f t="shared" si="23"/>
        <v/>
      </c>
      <c r="AD82" s="601" t="str">
        <f t="shared" si="24"/>
        <v/>
      </c>
      <c r="AE82" s="664" t="str">
        <f t="shared" si="25"/>
        <v/>
      </c>
      <c r="AF82" s="599" t="str">
        <f t="shared" si="26"/>
        <v/>
      </c>
      <c r="AG82" s="600" t="str">
        <f>IF(D82="","",VLOOKUP(F82,'9. All Habitats + Multipliers'!$C$4:$K$102,5,FALSE))</f>
        <v/>
      </c>
      <c r="AH82" s="601" t="str">
        <f>IF(AG82="","",VLOOKUP(AG82,'11. Lists'!$S$47:$U$50,2,FALSE))</f>
        <v/>
      </c>
      <c r="AI82" s="599" t="str">
        <f t="shared" si="27"/>
        <v/>
      </c>
      <c r="AJ82" s="579" t="str">
        <f>IF(AI82="","",VLOOKUP(AI82,'11. Lists'!$F$47:$G$51,2,FALSE))</f>
        <v/>
      </c>
      <c r="AK82" s="823"/>
      <c r="AL82" s="823"/>
      <c r="AM82" s="823"/>
      <c r="AN82" s="580" t="str">
        <f t="shared" si="28"/>
        <v/>
      </c>
      <c r="AO82" s="603"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601" t="str">
        <f t="shared" si="29"/>
        <v/>
      </c>
      <c r="AZ82" s="686"/>
      <c r="BA82" s="579">
        <v>17</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184</v>
      </c>
      <c r="BX82" s="581">
        <f>BR64</f>
        <v>0</v>
      </c>
    </row>
    <row r="83" spans="1:76" s="520" customFormat="1" ht="15.6" customHeight="1" x14ac:dyDescent="0.25">
      <c r="B83" s="744">
        <v>18</v>
      </c>
      <c r="C83" s="605" t="str">
        <f t="shared" si="12"/>
        <v/>
      </c>
      <c r="D83" s="688" t="str">
        <f t="shared" si="13"/>
        <v/>
      </c>
      <c r="E83" s="651" t="str">
        <f t="shared" si="14"/>
        <v/>
      </c>
      <c r="F83" s="290"/>
      <c r="G83" s="289"/>
      <c r="H83" s="648" t="str">
        <f t="shared" si="15"/>
        <v/>
      </c>
      <c r="I83" s="800" t="str">
        <f t="shared" si="16"/>
        <v/>
      </c>
      <c r="J83" s="159" t="str">
        <f>IFERROR(IF(F83="","",VLOOKUP(F83,'10. Condition and Temporal'!$B$6:$F$103,5,FALSE)), "Error ▲")</f>
        <v/>
      </c>
      <c r="K83" s="158"/>
      <c r="L83" s="763" t="str">
        <f t="shared" si="17"/>
        <v/>
      </c>
      <c r="M83" s="329" t="str">
        <f t="shared" si="18"/>
        <v/>
      </c>
      <c r="N83" s="157"/>
      <c r="O83" s="560"/>
      <c r="P83" s="508"/>
      <c r="R83" s="410"/>
      <c r="T83" s="662" t="str">
        <f t="shared" si="19"/>
        <v/>
      </c>
      <c r="U83" s="600" t="str">
        <f t="shared" si="20"/>
        <v/>
      </c>
      <c r="V83" s="601" t="str">
        <f t="shared" si="21"/>
        <v/>
      </c>
      <c r="W83" s="600" t="str">
        <f t="shared" si="21"/>
        <v/>
      </c>
      <c r="X83" s="581" t="str">
        <f t="shared" si="21"/>
        <v/>
      </c>
      <c r="Y83" s="823"/>
      <c r="Z83" s="823"/>
      <c r="AA83" s="823"/>
      <c r="AB83" s="581" t="str">
        <f t="shared" si="22"/>
        <v/>
      </c>
      <c r="AC83" s="602" t="str">
        <f t="shared" si="23"/>
        <v/>
      </c>
      <c r="AD83" s="601" t="str">
        <f t="shared" si="24"/>
        <v/>
      </c>
      <c r="AE83" s="664" t="str">
        <f t="shared" si="25"/>
        <v/>
      </c>
      <c r="AF83" s="599" t="str">
        <f t="shared" si="26"/>
        <v/>
      </c>
      <c r="AG83" s="600" t="str">
        <f>IF(D83="","",VLOOKUP(F83,'9. All Habitats + Multipliers'!$C$4:$K$102,5,FALSE))</f>
        <v/>
      </c>
      <c r="AH83" s="601" t="str">
        <f>IF(AG83="","",VLOOKUP(AG83,'11. Lists'!$S$47:$U$50,2,FALSE))</f>
        <v/>
      </c>
      <c r="AI83" s="599" t="str">
        <f t="shared" si="27"/>
        <v/>
      </c>
      <c r="AJ83" s="579" t="str">
        <f>IF(AI83="","",VLOOKUP(AI83,'11. Lists'!$F$47:$G$51,2,FALSE))</f>
        <v/>
      </c>
      <c r="AK83" s="823"/>
      <c r="AL83" s="823"/>
      <c r="AM83" s="823"/>
      <c r="AN83" s="580" t="str">
        <f t="shared" si="28"/>
        <v/>
      </c>
      <c r="AO83" s="603"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601" t="str">
        <f t="shared" si="29"/>
        <v/>
      </c>
      <c r="AZ83" s="686"/>
      <c r="BA83" s="579">
        <v>18</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185</v>
      </c>
      <c r="BX83" s="581">
        <f>BS64</f>
        <v>0</v>
      </c>
    </row>
    <row r="84" spans="1:76" s="520" customFormat="1" ht="15.6" customHeight="1" x14ac:dyDescent="0.25">
      <c r="B84" s="744">
        <v>19</v>
      </c>
      <c r="C84" s="605" t="str">
        <f t="shared" si="12"/>
        <v/>
      </c>
      <c r="D84" s="688" t="str">
        <f t="shared" si="13"/>
        <v/>
      </c>
      <c r="E84" s="651" t="str">
        <f t="shared" si="14"/>
        <v/>
      </c>
      <c r="F84" s="290"/>
      <c r="G84" s="289"/>
      <c r="H84" s="648" t="str">
        <f t="shared" si="15"/>
        <v/>
      </c>
      <c r="I84" s="800" t="str">
        <f t="shared" si="16"/>
        <v/>
      </c>
      <c r="J84" s="159" t="str">
        <f>IFERROR(IF(F84="","",VLOOKUP(F84,'10. Condition and Temporal'!$B$6:$F$103,5,FALSE)), "Error ▲")</f>
        <v/>
      </c>
      <c r="K84" s="158"/>
      <c r="L84" s="763" t="str">
        <f t="shared" si="17"/>
        <v/>
      </c>
      <c r="M84" s="329" t="str">
        <f t="shared" si="18"/>
        <v/>
      </c>
      <c r="N84" s="157"/>
      <c r="O84" s="560"/>
      <c r="P84" s="508"/>
      <c r="R84" s="410"/>
      <c r="T84" s="662" t="str">
        <f t="shared" si="19"/>
        <v/>
      </c>
      <c r="U84" s="600" t="str">
        <f t="shared" si="20"/>
        <v/>
      </c>
      <c r="V84" s="601" t="str">
        <f t="shared" si="21"/>
        <v/>
      </c>
      <c r="W84" s="600" t="str">
        <f t="shared" si="21"/>
        <v/>
      </c>
      <c r="X84" s="581" t="str">
        <f t="shared" si="21"/>
        <v/>
      </c>
      <c r="Y84" s="823"/>
      <c r="Z84" s="823"/>
      <c r="AA84" s="823"/>
      <c r="AB84" s="581" t="str">
        <f t="shared" si="22"/>
        <v/>
      </c>
      <c r="AC84" s="602" t="str">
        <f t="shared" si="23"/>
        <v/>
      </c>
      <c r="AD84" s="601" t="str">
        <f t="shared" si="24"/>
        <v/>
      </c>
      <c r="AE84" s="664" t="str">
        <f t="shared" si="25"/>
        <v/>
      </c>
      <c r="AF84" s="599" t="str">
        <f t="shared" si="26"/>
        <v/>
      </c>
      <c r="AG84" s="600" t="str">
        <f>IF(D84="","",VLOOKUP(F84,'9. All Habitats + Multipliers'!$C$4:$K$102,5,FALSE))</f>
        <v/>
      </c>
      <c r="AH84" s="601" t="str">
        <f>IF(AG84="","",VLOOKUP(AG84,'11. Lists'!$S$47:$U$50,2,FALSE))</f>
        <v/>
      </c>
      <c r="AI84" s="599" t="str">
        <f t="shared" si="27"/>
        <v/>
      </c>
      <c r="AJ84" s="579" t="str">
        <f>IF(AI84="","",VLOOKUP(AI84,'11. Lists'!$F$47:$G$51,2,FALSE))</f>
        <v/>
      </c>
      <c r="AK84" s="823"/>
      <c r="AL84" s="823"/>
      <c r="AM84" s="823"/>
      <c r="AN84" s="580" t="str">
        <f t="shared" si="28"/>
        <v/>
      </c>
      <c r="AO84" s="603"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601" t="str">
        <f t="shared" si="29"/>
        <v/>
      </c>
      <c r="AZ84" s="686"/>
      <c r="BA84" s="579">
        <v>19</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186</v>
      </c>
      <c r="BX84" s="581">
        <f>BT64</f>
        <v>0</v>
      </c>
    </row>
    <row r="85" spans="1:76" s="520" customFormat="1" ht="16.149999999999999" customHeight="1" x14ac:dyDescent="0.25">
      <c r="B85" s="745">
        <v>20</v>
      </c>
      <c r="C85" s="624" t="str">
        <f t="shared" si="12"/>
        <v/>
      </c>
      <c r="D85" s="898" t="str">
        <f t="shared" si="13"/>
        <v/>
      </c>
      <c r="E85" s="652" t="str">
        <f t="shared" si="14"/>
        <v/>
      </c>
      <c r="F85" s="288"/>
      <c r="G85" s="287"/>
      <c r="H85" s="649" t="str">
        <f t="shared" si="15"/>
        <v/>
      </c>
      <c r="I85" s="899" t="str">
        <f t="shared" si="16"/>
        <v/>
      </c>
      <c r="J85" s="156" t="str">
        <f>IFERROR(IF(F85="","",VLOOKUP(F85,'10. Condition and Temporal'!$B$6:$F$103,5,FALSE)), "Error ▲")</f>
        <v/>
      </c>
      <c r="K85" s="155"/>
      <c r="L85" s="900" t="str">
        <f t="shared" si="17"/>
        <v/>
      </c>
      <c r="M85" s="154" t="str">
        <f t="shared" si="18"/>
        <v/>
      </c>
      <c r="N85" s="168"/>
      <c r="O85" s="561"/>
      <c r="P85" s="510"/>
      <c r="R85" s="410"/>
      <c r="T85" s="662" t="str">
        <f t="shared" si="19"/>
        <v/>
      </c>
      <c r="U85" s="600" t="str">
        <f t="shared" si="20"/>
        <v/>
      </c>
      <c r="V85" s="601" t="str">
        <f t="shared" si="21"/>
        <v/>
      </c>
      <c r="W85" s="600" t="str">
        <f t="shared" si="21"/>
        <v/>
      </c>
      <c r="X85" s="581" t="str">
        <f t="shared" si="21"/>
        <v/>
      </c>
      <c r="Y85" s="823"/>
      <c r="Z85" s="823"/>
      <c r="AA85" s="823"/>
      <c r="AB85" s="581" t="str">
        <f t="shared" si="22"/>
        <v/>
      </c>
      <c r="AC85" s="602" t="str">
        <f t="shared" si="23"/>
        <v/>
      </c>
      <c r="AD85" s="601" t="str">
        <f t="shared" si="24"/>
        <v/>
      </c>
      <c r="AE85" s="664" t="str">
        <f t="shared" si="25"/>
        <v/>
      </c>
      <c r="AF85" s="599" t="str">
        <f t="shared" si="26"/>
        <v/>
      </c>
      <c r="AG85" s="600" t="str">
        <f>IF(D85="","",VLOOKUP(F85,'9. All Habitats + Multipliers'!$C$4:$K$102,5,FALSE))</f>
        <v/>
      </c>
      <c r="AH85" s="601" t="str">
        <f>IF(AG85="","",VLOOKUP(AG85,'11. Lists'!$S$47:$U$50,2,FALSE))</f>
        <v/>
      </c>
      <c r="AI85" s="599" t="str">
        <f t="shared" si="27"/>
        <v/>
      </c>
      <c r="AJ85" s="584" t="str">
        <f>IF(AI85="","",VLOOKUP(AI85,'11. Lists'!$F$47:$G$51,2,FALSE))</f>
        <v/>
      </c>
      <c r="AK85" s="844"/>
      <c r="AL85" s="844"/>
      <c r="AM85" s="844"/>
      <c r="AN85" s="585" t="str">
        <f t="shared" si="28"/>
        <v/>
      </c>
      <c r="AO85" s="603"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601" t="str">
        <f t="shared" si="29"/>
        <v/>
      </c>
      <c r="AZ85" s="686"/>
      <c r="BA85" s="584">
        <v>20</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187</v>
      </c>
      <c r="BX85" s="581">
        <f>BU64</f>
        <v>0</v>
      </c>
    </row>
    <row r="86" spans="1:76" s="520" customFormat="1" ht="15" customHeight="1" x14ac:dyDescent="0.25">
      <c r="H86" s="748" t="s">
        <v>239</v>
      </c>
      <c r="I86" s="802">
        <f>SUM(I66:I85)</f>
        <v>16.848099999999999</v>
      </c>
      <c r="J86" s="892"/>
      <c r="L86" s="870">
        <f>SUM(L66:L85)</f>
        <v>0.19322614147243541</v>
      </c>
      <c r="M86" s="170">
        <f>SUM(M66:N85)</f>
        <v>5.8441341472435432E-2</v>
      </c>
      <c r="N86" s="168"/>
      <c r="R86" s="410"/>
    </row>
    <row r="87" spans="1:76" s="520" customFormat="1" x14ac:dyDescent="0.25">
      <c r="C87" s="521"/>
      <c r="R87" s="410"/>
    </row>
    <row r="88" spans="1:76" s="520" customFormat="1" x14ac:dyDescent="0.25">
      <c r="R88" s="410"/>
    </row>
    <row r="89" spans="1:76" s="520" customFormat="1" ht="19.149999999999999" customHeight="1" x14ac:dyDescent="0.25">
      <c r="R89" s="410"/>
    </row>
    <row r="90" spans="1:76" s="520" customFormat="1" x14ac:dyDescent="0.25">
      <c r="R90" s="410"/>
    </row>
    <row r="91" spans="1:76" s="520" customFormat="1" x14ac:dyDescent="0.25">
      <c r="A91" s="241" t="s">
        <v>203</v>
      </c>
      <c r="B91" s="241"/>
      <c r="C91" s="241"/>
      <c r="D91" s="241"/>
      <c r="E91" s="241"/>
      <c r="F91" s="241"/>
      <c r="G91" s="241"/>
      <c r="H91" s="241"/>
      <c r="I91" s="241"/>
      <c r="J91" s="241"/>
      <c r="K91" s="241"/>
      <c r="L91" s="241"/>
      <c r="M91" s="241"/>
      <c r="N91" s="241"/>
      <c r="O91" s="241"/>
      <c r="P91" s="241"/>
      <c r="Q91" s="241"/>
      <c r="R91" s="410"/>
    </row>
    <row r="92" spans="1:76" s="520" customFormat="1" x14ac:dyDescent="0.25">
      <c r="A92" s="241"/>
      <c r="B92" s="241"/>
      <c r="C92" s="241"/>
      <c r="D92" s="241"/>
      <c r="E92" s="241"/>
      <c r="F92" s="241"/>
      <c r="G92" s="241"/>
      <c r="H92" s="241"/>
      <c r="I92" s="241"/>
      <c r="J92" s="241"/>
      <c r="K92" s="241"/>
      <c r="L92" s="241"/>
      <c r="M92" s="241"/>
      <c r="N92" s="241"/>
      <c r="O92" s="241"/>
      <c r="P92" s="241"/>
      <c r="Q92" s="241"/>
      <c r="R92" s="410"/>
    </row>
    <row r="93" spans="1:76" s="520" customFormat="1" x14ac:dyDescent="0.25">
      <c r="A93" s="241"/>
      <c r="B93" s="241"/>
      <c r="C93" s="241"/>
      <c r="D93" s="241"/>
      <c r="E93" s="241"/>
      <c r="F93" s="241"/>
      <c r="G93" s="241"/>
      <c r="H93" s="241"/>
      <c r="I93" s="241"/>
      <c r="J93" s="241"/>
      <c r="K93" s="241"/>
      <c r="L93" s="241"/>
      <c r="M93" s="241"/>
      <c r="N93" s="241"/>
      <c r="O93" s="241"/>
      <c r="P93" s="241"/>
      <c r="Q93" s="241"/>
      <c r="R93" s="410"/>
    </row>
    <row r="94" spans="1:76" s="520" customFormat="1" x14ac:dyDescent="0.25">
      <c r="R94" s="410"/>
    </row>
    <row r="95" spans="1:76" s="520" customFormat="1" ht="21" customHeight="1" x14ac:dyDescent="0.35">
      <c r="B95" s="543" t="s">
        <v>204</v>
      </c>
      <c r="D95" s="521"/>
      <c r="E95" s="521"/>
      <c r="F95" s="521"/>
      <c r="G95" s="521"/>
      <c r="R95" s="410"/>
    </row>
    <row r="96" spans="1:76" s="520" customFormat="1" ht="15" customHeight="1" x14ac:dyDescent="0.25">
      <c r="R96" s="410"/>
    </row>
    <row r="97" spans="2:18" s="520" customFormat="1" ht="36.6" customHeight="1" x14ac:dyDescent="0.25">
      <c r="B97" s="153" t="s">
        <v>244</v>
      </c>
      <c r="C97" s="152"/>
      <c r="D97" s="151"/>
      <c r="E97" s="150" t="str" cm="1">
        <f t="array" aca="1" ref="E97" ca="1">IF(OR(H103:H113="No ▲"),"Error - Trading Rules Not Satisfied ▲","Trading Rules Satisfied ✓")</f>
        <v>Trading Rules Satisfied ✓</v>
      </c>
      <c r="F97" s="150"/>
      <c r="G97" s="150"/>
      <c r="H97" s="150"/>
      <c r="I97" s="149"/>
      <c r="J97" s="643">
        <f ca="1">IFERROR(FIND("Error",E97),0)</f>
        <v>0</v>
      </c>
      <c r="R97" s="410"/>
    </row>
    <row r="98" spans="2:18" s="520" customFormat="1" x14ac:dyDescent="0.25">
      <c r="R98" s="410"/>
    </row>
    <row r="99" spans="2:18" s="520" customFormat="1" ht="21" customHeight="1" x14ac:dyDescent="0.35">
      <c r="B99" s="543" t="s">
        <v>207</v>
      </c>
      <c r="R99" s="410"/>
    </row>
    <row r="100" spans="2:18" s="520" customFormat="1" x14ac:dyDescent="0.25">
      <c r="R100" s="410"/>
    </row>
    <row r="101" spans="2:18" s="520" customFormat="1" ht="15" customHeight="1" x14ac:dyDescent="0.25">
      <c r="R101" s="410"/>
    </row>
    <row r="102" spans="2:18" s="520" customFormat="1" ht="51" customHeight="1" x14ac:dyDescent="0.25">
      <c r="B102" s="934" t="s">
        <v>144</v>
      </c>
      <c r="C102" s="929" t="s">
        <v>97</v>
      </c>
      <c r="D102" s="929" t="s">
        <v>61</v>
      </c>
      <c r="E102" s="929" t="s">
        <v>210</v>
      </c>
      <c r="F102" s="929" t="s">
        <v>211</v>
      </c>
      <c r="G102" s="929" t="s">
        <v>212</v>
      </c>
      <c r="H102" s="919" t="s">
        <v>213</v>
      </c>
      <c r="I102" s="908"/>
      <c r="R102" s="410"/>
    </row>
    <row r="103" spans="2:18" s="520" customFormat="1" ht="30.75" customHeight="1" x14ac:dyDescent="0.25">
      <c r="B103" s="148" t="s">
        <v>238</v>
      </c>
      <c r="C103" s="145" t="s">
        <v>217</v>
      </c>
      <c r="D103" s="930" t="s">
        <v>245</v>
      </c>
      <c r="E103" s="931">
        <f ca="1">SUMIF($D$11:$E$30,D103,$L$11:$L$30)</f>
        <v>0</v>
      </c>
      <c r="F103" s="931">
        <f ca="1">IF($I$31+$I$59+$I$86=0,0,SUMIF($D$39:$D$58,D103,$L$39:$N$58)+SUMIF($F$66:$G$85,D103,$L$66:$L$85)+SUMIF($D$11:$E$30,D103,$AE$11:$AE$30))</f>
        <v>0</v>
      </c>
      <c r="G103" s="931">
        <f ca="1">$F$103-$E$103</f>
        <v>0</v>
      </c>
      <c r="H103" s="142" t="str">
        <f ca="1">IF(G108&gt;=0, "Yes ✓", "No ▲")</f>
        <v>Yes ✓</v>
      </c>
      <c r="I103" s="908"/>
      <c r="R103" s="410"/>
    </row>
    <row r="104" spans="2:18" s="520" customFormat="1" ht="30.75" customHeight="1" x14ac:dyDescent="0.25">
      <c r="B104" s="147"/>
      <c r="C104" s="144"/>
      <c r="D104" s="910" t="s">
        <v>246</v>
      </c>
      <c r="E104" s="911">
        <f ca="1">SUMIF($D$11:$E$30,D104,$L$11:$L$30)</f>
        <v>0</v>
      </c>
      <c r="F104" s="911">
        <f ca="1">IF($I$31+$I$59+$I$86=0,0,SUMIF($D$39:$D$58,D104,$L$39:$N$58)+SUMIF($F$66:$G$85,D104,$L$66:$L$85)+SUMIF($D$11:$E$30,D104,$AE$11:$AE$30))</f>
        <v>0</v>
      </c>
      <c r="G104" s="911">
        <f ca="1">$F$104-$E$104</f>
        <v>0</v>
      </c>
      <c r="H104" s="141"/>
      <c r="I104" s="908"/>
      <c r="R104" s="410"/>
    </row>
    <row r="105" spans="2:18" s="520" customFormat="1" ht="30.75" customHeight="1" x14ac:dyDescent="0.25">
      <c r="B105" s="147"/>
      <c r="C105" s="144"/>
      <c r="D105" s="910" t="s">
        <v>247</v>
      </c>
      <c r="E105" s="911">
        <f ca="1">SUMIF($D$11:$E$30,D105,$L$11:$L$30)</f>
        <v>0.13478479999999998</v>
      </c>
      <c r="F105" s="911">
        <f ca="1">IF($I$31+$I$59+$I$86=0,0,SUMIF($D$39:$D$58,D105,$L$39:$N$58)+SUMIF($F$66:$G$85,D105,$L$66:$L$85)+SUMIF($D$11:$E$30,D105,$AE$11:$AE$30))</f>
        <v>0.19322614147243541</v>
      </c>
      <c r="G105" s="911">
        <f ca="1">$F$105-$E$105</f>
        <v>5.8441341472435432E-2</v>
      </c>
      <c r="H105" s="141"/>
      <c r="I105" s="908"/>
      <c r="R105" s="410"/>
    </row>
    <row r="106" spans="2:18" s="520" customFormat="1" ht="30.75" customHeight="1" x14ac:dyDescent="0.25">
      <c r="B106" s="147"/>
      <c r="C106" s="144"/>
      <c r="D106" s="910" t="s">
        <v>248</v>
      </c>
      <c r="E106" s="911">
        <f ca="1">SUMIF($D$11:$E$30,D106,$L$11:$L$30)</f>
        <v>0</v>
      </c>
      <c r="F106" s="911">
        <f ca="1">IF($I$31+$I$59+$I$86=0,0,SUMIF($D$39:$D$58,D106,$L$39:$N$58)+SUMIF($F$66:$G$85,D106,$L$66:$L$85)+SUMIF($D$11:$E$30,D106,$AE$11:$AE$30))</f>
        <v>0</v>
      </c>
      <c r="G106" s="911">
        <f ca="1">$F$106-$E$106</f>
        <v>0</v>
      </c>
      <c r="H106" s="141"/>
      <c r="I106" s="908"/>
      <c r="R106" s="410"/>
    </row>
    <row r="107" spans="2:18" s="520" customFormat="1" ht="30.75" customHeight="1" x14ac:dyDescent="0.25">
      <c r="B107" s="147"/>
      <c r="C107" s="144"/>
      <c r="D107" s="910" t="s">
        <v>249</v>
      </c>
      <c r="E107" s="911">
        <f ca="1">SUMIF($D$11:$E$30,D107,$L$11:$L$30)</f>
        <v>0</v>
      </c>
      <c r="F107" s="911">
        <f ca="1">IF($I$31+$I$59+$I$86=0,0,SUMIF($D$39:$D$58,D107,$L$39:$N$58)+SUMIF($F$66:$G$85,D107,$L$66:$L$85)+SUMIF($D$11:$E$30,D107,$AE$11:$AE$30))</f>
        <v>0</v>
      </c>
      <c r="G107" s="911">
        <f ca="1">$F$107-$E$107</f>
        <v>0</v>
      </c>
      <c r="H107" s="141"/>
      <c r="I107" s="643"/>
      <c r="R107" s="410"/>
    </row>
    <row r="108" spans="2:18" s="520" customFormat="1" ht="30.75" customHeight="1" x14ac:dyDescent="0.25">
      <c r="B108" s="147"/>
      <c r="C108" s="143"/>
      <c r="D108" s="922" t="s">
        <v>250</v>
      </c>
      <c r="E108" s="923">
        <f ca="1">SUM($E$103:$E$107)</f>
        <v>0.13478479999999998</v>
      </c>
      <c r="F108" s="923">
        <f ca="1">SUM($F$103:$F$107)</f>
        <v>0.19322614147243541</v>
      </c>
      <c r="G108" s="923">
        <f ca="1">SUM($G$103:$G$107)</f>
        <v>5.8441341472435432E-2</v>
      </c>
      <c r="H108" s="140"/>
      <c r="I108" s="643">
        <f ca="1">IF($H$103="No ▲",1,0)</f>
        <v>0</v>
      </c>
      <c r="R108" s="410"/>
    </row>
    <row r="109" spans="2:18" s="520" customFormat="1" ht="30.75" customHeight="1" x14ac:dyDescent="0.25">
      <c r="B109" s="147"/>
      <c r="C109" s="145" t="s">
        <v>215</v>
      </c>
      <c r="D109" s="930" t="s">
        <v>251</v>
      </c>
      <c r="E109" s="931">
        <f ca="1">SUMIF($D$11:$E$30,D109,$L$11:$L$30)</f>
        <v>0.10542839999999999</v>
      </c>
      <c r="F109" s="931">
        <f ca="1">IF($I$31+$I$59+$I$86=0,0,SUMIF($D$39:$D$58,D109,$L$39:$N$58)+SUMIF($F$66:$G$85,D109,$L$66:$L$85)+SUMIF($D$11:$E$30,D109,$AE$11:$AE$30))</f>
        <v>0.10542839999999999</v>
      </c>
      <c r="G109" s="931">
        <f ca="1">$F$109-$E$109</f>
        <v>0</v>
      </c>
      <c r="H109" s="142" t="str">
        <f ca="1">IF(G112&gt;=0,"Yes ✓",IF(E114&gt;=0,"Yes ✓","No ▲"))</f>
        <v>Yes ✓</v>
      </c>
      <c r="I109" s="643"/>
      <c r="R109" s="410"/>
    </row>
    <row r="110" spans="2:18" s="520" customFormat="1" ht="30.75" customHeight="1" x14ac:dyDescent="0.25">
      <c r="B110" s="147"/>
      <c r="C110" s="144"/>
      <c r="D110" s="910" t="s">
        <v>252</v>
      </c>
      <c r="E110" s="911">
        <f ca="1">SUMIF($D$11:$E$30,D110,$L$11:$L$30)</f>
        <v>0</v>
      </c>
      <c r="F110" s="911">
        <f ca="1">IF($I$31+$I$59+$I$86=0,0,SUMIF($D$39:$D$58,D110,$L$39:$N$58)+SUMIF($F$66:$G$85,D110,$L$66:$L$85)+SUMIF($D$11:$E$30,D110,$AE$11:$AE$30))</f>
        <v>0</v>
      </c>
      <c r="G110" s="911">
        <f ca="1">$F$110-$E$110</f>
        <v>0</v>
      </c>
      <c r="H110" s="141"/>
      <c r="I110" s="643"/>
      <c r="R110" s="410"/>
    </row>
    <row r="111" spans="2:18" s="520" customFormat="1" ht="30.75" customHeight="1" x14ac:dyDescent="0.25">
      <c r="B111" s="147"/>
      <c r="C111" s="144"/>
      <c r="D111" s="910" t="s">
        <v>253</v>
      </c>
      <c r="E111" s="911">
        <f ca="1">SUMIF($D$11:$E$30,D111,$L$11:$L$30)</f>
        <v>0</v>
      </c>
      <c r="F111" s="911">
        <f ca="1">IF($I$31+$I$59+$I$86=0,0,SUMIF($D$39:$D$58,D111,$L$39:$N$58)+SUMIF($F$66:$G$85,D111,$L$66:$L$85)+SUMIF($D$11:$E$30,D111,$AE$11:$AE$30))</f>
        <v>0</v>
      </c>
      <c r="G111" s="911">
        <f ca="1">$F$111-$E$111</f>
        <v>0</v>
      </c>
      <c r="H111" s="141"/>
      <c r="I111" s="643"/>
      <c r="R111" s="410"/>
    </row>
    <row r="112" spans="2:18" s="520" customFormat="1" ht="30.75" customHeight="1" x14ac:dyDescent="0.25">
      <c r="B112" s="147"/>
      <c r="C112" s="143"/>
      <c r="D112" s="922" t="s">
        <v>250</v>
      </c>
      <c r="E112" s="923">
        <f ca="1">SUM($E$109:$E$111)</f>
        <v>0.10542839999999999</v>
      </c>
      <c r="F112" s="923">
        <f ca="1">SUM($F$109:$F$111)</f>
        <v>0.10542839999999999</v>
      </c>
      <c r="G112" s="923">
        <f ca="1">SUM($G$109:$G$111)</f>
        <v>0</v>
      </c>
      <c r="H112" s="140"/>
      <c r="I112" s="643">
        <f ca="1">IF($H$109="No ▲",1,0)</f>
        <v>0</v>
      </c>
      <c r="R112" s="410"/>
    </row>
    <row r="113" spans="2:18" s="520" customFormat="1" ht="30.75" customHeight="1" x14ac:dyDescent="0.25">
      <c r="B113" s="146"/>
      <c r="C113" s="924" t="s">
        <v>254</v>
      </c>
      <c r="D113" s="932" t="s">
        <v>255</v>
      </c>
      <c r="E113" s="933">
        <f ca="1">SUMIF($D$11:$E$30,D113,$L$11:$L$30)</f>
        <v>0</v>
      </c>
      <c r="F113" s="933">
        <f ca="1">IF($I$31+$I$59+$I$86=0,0,SUMIF($D$39:$D$58,D113,$L$39:$N$58)+SUMIF($F$66:$G$85,D113,$L$66:$L$85)+SUMIF($D$11:$E$30,D113,$AE$11:$AE$30))</f>
        <v>0</v>
      </c>
      <c r="G113" s="933">
        <f ca="1">$F$113-$E$113</f>
        <v>0</v>
      </c>
      <c r="H113" s="927" t="str">
        <f ca="1">IF(G113&gt;=0,"Yes✓",IF(F114&gt;=0,"Yes ✓","No ▲"))</f>
        <v>Yes✓</v>
      </c>
      <c r="I113" s="643">
        <f ca="1">IF($H$113="No ▲",1,0)</f>
        <v>0</v>
      </c>
      <c r="R113" s="410"/>
    </row>
    <row r="114" spans="2:18" s="520" customFormat="1" ht="15" customHeight="1" x14ac:dyDescent="0.25">
      <c r="E114" s="935">
        <f ca="1">G108+G112</f>
        <v>5.8441341472435432E-2</v>
      </c>
      <c r="F114" s="912">
        <f ca="1">IF(G108&lt;0,0,($G$108+$G$112+$G$113))</f>
        <v>5.8441341472435432E-2</v>
      </c>
      <c r="I114" s="908"/>
      <c r="R114" s="410"/>
    </row>
    <row r="115" spans="2:18" s="520" customFormat="1" ht="24.75" customHeight="1" x14ac:dyDescent="0.25">
      <c r="B115" s="139" t="s">
        <v>256</v>
      </c>
      <c r="C115" s="430"/>
      <c r="D115" s="430"/>
      <c r="E115" s="430"/>
      <c r="F115" s="915">
        <f ca="1">$G$108</f>
        <v>5.8441341472435432E-2</v>
      </c>
      <c r="G115" s="912">
        <f ca="1">IF($G$108&lt;=0,0,($G$108+$G$112))</f>
        <v>5.8441341472435432E-2</v>
      </c>
      <c r="I115" s="908"/>
      <c r="R115" s="410"/>
    </row>
    <row r="116" spans="2:18" s="520" customFormat="1" ht="21.75" customHeight="1" x14ac:dyDescent="0.25">
      <c r="B116" s="138" t="s">
        <v>257</v>
      </c>
      <c r="C116" s="137"/>
      <c r="D116" s="137"/>
      <c r="E116" s="137"/>
      <c r="F116" s="917">
        <f ca="1">IF($G$108&gt;0,($G$112+$G$108),$G$112)</f>
        <v>5.8441341472435432E-2</v>
      </c>
      <c r="G116" s="912">
        <f ca="1">IF($G$108&lt;=0,0,($G$108+$G$112+$G$113))</f>
        <v>5.8441341472435432E-2</v>
      </c>
      <c r="R116" s="410"/>
    </row>
    <row r="117" spans="2:18" s="520" customFormat="1" ht="24" customHeight="1" x14ac:dyDescent="0.25">
      <c r="B117" s="136" t="s">
        <v>258</v>
      </c>
      <c r="C117" s="428"/>
      <c r="D117" s="428"/>
      <c r="E117" s="428"/>
      <c r="F117" s="916">
        <f ca="1">IF($F$116&gt;0,($F$116+$G$113),$G$113)</f>
        <v>5.8441341472435432E-2</v>
      </c>
      <c r="G117" s="912"/>
      <c r="R117" s="410"/>
    </row>
    <row r="118" spans="2:18" s="520" customFormat="1" x14ac:dyDescent="0.25">
      <c r="G118" s="912"/>
      <c r="R118" s="410"/>
    </row>
    <row r="119" spans="2:18" s="520" customFormat="1" x14ac:dyDescent="0.25">
      <c r="R119" s="410"/>
    </row>
    <row r="120" spans="2:18" s="520" customFormat="1" x14ac:dyDescent="0.25">
      <c r="R120" s="410"/>
    </row>
    <row r="121" spans="2:18" s="520" customFormat="1" x14ac:dyDescent="0.25">
      <c r="R121" s="410"/>
    </row>
    <row r="122" spans="2:18" s="520" customFormat="1" x14ac:dyDescent="0.25">
      <c r="R122" s="410"/>
    </row>
    <row r="123" spans="2:18" s="520" customFormat="1" x14ac:dyDescent="0.25">
      <c r="R123" s="410"/>
    </row>
    <row r="124" spans="2:18" s="520" customFormat="1" x14ac:dyDescent="0.25">
      <c r="R124" s="410"/>
    </row>
    <row r="125" spans="2:18" s="520" customFormat="1" x14ac:dyDescent="0.25">
      <c r="R125" s="410"/>
    </row>
    <row r="126" spans="2:18" s="520" customFormat="1" x14ac:dyDescent="0.25">
      <c r="R126" s="410"/>
    </row>
    <row r="127" spans="2:18" s="520" customFormat="1" x14ac:dyDescent="0.25">
      <c r="R127" s="410"/>
    </row>
  </sheetData>
  <sheetProtection algorithmName="SHA-512" hashValue="xz9MHnyjpwIV3DmTeuqW1769/10tWXgXrX1g95VUBMVbZ8cZArnxPf14ZyiomAxMsc+C0rMCUL0BPpM8VI6wjg==" saltValue="bqt7brlrxiDeAEFPhxVvKw==" spinCount="100000" sheet="1" formatRows="0"/>
  <mergeCells count="273">
    <mergeCell ref="R101:R127"/>
    <mergeCell ref="B103:B113"/>
    <mergeCell ref="C103:C108"/>
    <mergeCell ref="H103:H108"/>
    <mergeCell ref="C109:C112"/>
    <mergeCell ref="H109:H112"/>
    <mergeCell ref="B115:E115"/>
    <mergeCell ref="B116:E116"/>
    <mergeCell ref="B117:E117"/>
    <mergeCell ref="F85:G85"/>
    <mergeCell ref="J85:K85"/>
    <mergeCell ref="M85:N85"/>
    <mergeCell ref="M86:N86"/>
    <mergeCell ref="R89:R97"/>
    <mergeCell ref="A91:Q93"/>
    <mergeCell ref="B97:D97"/>
    <mergeCell ref="E97:I97"/>
    <mergeCell ref="R98:R100"/>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F73:G73"/>
    <mergeCell ref="J73:K73"/>
    <mergeCell ref="M73:N73"/>
    <mergeCell ref="F74:G74"/>
    <mergeCell ref="J74:K74"/>
    <mergeCell ref="M74:N74"/>
    <mergeCell ref="F75:G75"/>
    <mergeCell ref="J75:K75"/>
    <mergeCell ref="M75:N75"/>
    <mergeCell ref="M69:N69"/>
    <mergeCell ref="F70:G70"/>
    <mergeCell ref="J70:K70"/>
    <mergeCell ref="M70:N70"/>
    <mergeCell ref="F71:G71"/>
    <mergeCell ref="J71:K71"/>
    <mergeCell ref="M71:N71"/>
    <mergeCell ref="F72:G72"/>
    <mergeCell ref="J72:K72"/>
    <mergeCell ref="M72:N72"/>
    <mergeCell ref="AE64:AE65"/>
    <mergeCell ref="AF64:AP64"/>
    <mergeCell ref="AQ64:AQ65"/>
    <mergeCell ref="AR64:AX64"/>
    <mergeCell ref="F65:G65"/>
    <mergeCell ref="F66:G66"/>
    <mergeCell ref="J66:K66"/>
    <mergeCell ref="M66:N66"/>
    <mergeCell ref="F67:G67"/>
    <mergeCell ref="J67:K67"/>
    <mergeCell ref="M67:N6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F55:G55"/>
    <mergeCell ref="I55:K55"/>
    <mergeCell ref="L55:N55"/>
    <mergeCell ref="T55:U55"/>
    <mergeCell ref="F56:G56"/>
    <mergeCell ref="I56:K56"/>
    <mergeCell ref="L56:N56"/>
    <mergeCell ref="T56:U56"/>
    <mergeCell ref="F57:G57"/>
    <mergeCell ref="I57:K57"/>
    <mergeCell ref="L57:N57"/>
    <mergeCell ref="T57:U57"/>
    <mergeCell ref="L52:N52"/>
    <mergeCell ref="T52:U52"/>
    <mergeCell ref="F53:G53"/>
    <mergeCell ref="I53:K53"/>
    <mergeCell ref="L53:N53"/>
    <mergeCell ref="T53:U53"/>
    <mergeCell ref="F54:G54"/>
    <mergeCell ref="I54:K54"/>
    <mergeCell ref="L54:N54"/>
    <mergeCell ref="T54:U54"/>
    <mergeCell ref="T49:U49"/>
    <mergeCell ref="F50:G50"/>
    <mergeCell ref="I50:K50"/>
    <mergeCell ref="L50:N50"/>
    <mergeCell ref="T50:U50"/>
    <mergeCell ref="F51:G51"/>
    <mergeCell ref="I51:K51"/>
    <mergeCell ref="L51:N51"/>
    <mergeCell ref="T51:U51"/>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T40:U40"/>
    <mergeCell ref="F41:G41"/>
    <mergeCell ref="I41:K41"/>
    <mergeCell ref="L41:N41"/>
    <mergeCell ref="T41:U41"/>
    <mergeCell ref="F42:G42"/>
    <mergeCell ref="I42:K42"/>
    <mergeCell ref="L42:N42"/>
    <mergeCell ref="T42:U42"/>
    <mergeCell ref="T37:V37"/>
    <mergeCell ref="W37:X37"/>
    <mergeCell ref="Y37:AA37"/>
    <mergeCell ref="AB37:AD37"/>
    <mergeCell ref="AE37:AF37"/>
    <mergeCell ref="AG37:AH37"/>
    <mergeCell ref="F38:G38"/>
    <mergeCell ref="T38:U38"/>
    <mergeCell ref="F39:G39"/>
    <mergeCell ref="I39:K39"/>
    <mergeCell ref="L39:N39"/>
    <mergeCell ref="T39:U39"/>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122" priority="38" operator="equal">
      <formula>"Enhancement not possible"</formula>
    </cfRule>
  </conditionalFormatting>
  <conditionalFormatting sqref="E97">
    <cfRule type="containsText" dxfId="121" priority="57" operator="containsText" text="Trading Rules Satisfied">
      <formula>NOT(ISERROR(SEARCH("Trading Rules Satisfied",E97)))</formula>
    </cfRule>
    <cfRule type="containsText" dxfId="120" priority="58" operator="containsText" text="Error - Trading Rules Not Satisfied">
      <formula>NOT(ISERROR(SEARCH("Error - Trading Rules Not Satisfied",E97)))</formula>
    </cfRule>
  </conditionalFormatting>
  <conditionalFormatting sqref="F39:F58">
    <cfRule type="expression" dxfId="119" priority="46">
      <formula>ISNUMBER(SEARCH(F39,E39,1))</formula>
    </cfRule>
    <cfRule type="containsBlanks" dxfId="118" priority="45" stopIfTrue="1">
      <formula>LEN(TRIM(F39))=0</formula>
    </cfRule>
  </conditionalFormatting>
  <conditionalFormatting sqref="F66:G85">
    <cfRule type="containsText" dxfId="117" priority="4" operator="containsText" text="not possible">
      <formula>NOT(ISERROR(SEARCH("not possible",F66)))</formula>
    </cfRule>
    <cfRule type="expression" dxfId="116" priority="37">
      <formula>$D66=""</formula>
    </cfRule>
  </conditionalFormatting>
  <conditionalFormatting sqref="H103 H109 H113">
    <cfRule type="containsText" dxfId="115" priority="1" operator="containsText" text="No">
      <formula>NOT(ISERROR(SEARCH("No",H103)))</formula>
    </cfRule>
    <cfRule type="containsText" dxfId="114" priority="2" operator="containsText" text="Yes">
      <formula>NOT(ISERROR(SEARCH("Yes",H103)))</formula>
    </cfRule>
  </conditionalFormatting>
  <conditionalFormatting sqref="I31">
    <cfRule type="cellIs" dxfId="113" priority="59" operator="greaterThan">
      <formula>5000</formula>
    </cfRule>
  </conditionalFormatting>
  <conditionalFormatting sqref="I86">
    <cfRule type="cellIs" dxfId="112" priority="53" operator="equal">
      <formula>"Any loss Unacceptable"</formula>
    </cfRule>
    <cfRule type="expression" dxfId="111" priority="54">
      <formula>"p18=""Avoid"""</formula>
    </cfRule>
  </conditionalFormatting>
  <conditionalFormatting sqref="I59:K59">
    <cfRule type="cellIs" dxfId="110" priority="6" operator="greaterThan">
      <formula>5000</formula>
    </cfRule>
  </conditionalFormatting>
  <conditionalFormatting sqref="I32:N32">
    <cfRule type="containsText" dxfId="109" priority="48" operator="containsText" text="error">
      <formula>NOT(ISERROR(SEARCH("error",I32)))</formula>
    </cfRule>
    <cfRule type="containsText" dxfId="108" priority="49" operator="containsText" text="acceptable">
      <formula>NOT(ISERROR(SEARCH("acceptable",I32)))</formula>
    </cfRule>
  </conditionalFormatting>
  <conditionalFormatting sqref="I33:N33">
    <cfRule type="containsText" dxfId="107" priority="9" operator="containsText" text="✓">
      <formula>NOT(ISERROR(SEARCH("✓",I33)))</formula>
    </cfRule>
    <cfRule type="containsText" dxfId="106" priority="8" operator="containsText" text="▲">
      <formula>NOT(ISERROR(SEARCH("▲",I33)))</formula>
    </cfRule>
  </conditionalFormatting>
  <conditionalFormatting sqref="I60:N60">
    <cfRule type="containsText" dxfId="105" priority="7" operator="containsText" text="✓">
      <formula>NOT(ISERROR(SEARCH("✓",I60)))</formula>
    </cfRule>
  </conditionalFormatting>
  <conditionalFormatting sqref="J2 O6:P6">
    <cfRule type="containsText" dxfId="104" priority="56" operator="containsText" text="Errors Present On Sheet">
      <formula>NOT(ISERROR(SEARCH("Errors Present On Sheet",J2)))</formula>
    </cfRule>
  </conditionalFormatting>
  <conditionalFormatting sqref="J2">
    <cfRule type="containsText" dxfId="103" priority="47" operator="containsText" text="Technical">
      <formula>NOT(ISERROR(SEARCH("Technical",J2)))</formula>
    </cfRule>
  </conditionalFormatting>
  <conditionalFormatting sqref="K11:K30">
    <cfRule type="expression" dxfId="102" priority="50">
      <formula>$AI11="Enhancement not possible"</formula>
    </cfRule>
  </conditionalFormatting>
  <conditionalFormatting sqref="L11:L30 N11:N30">
    <cfRule type="containsText" dxfId="101" priority="25" operator="containsText" text="▲">
      <formula>NOT(ISERROR(SEARCH("▲",L11)))</formula>
    </cfRule>
  </conditionalFormatting>
  <conditionalFormatting sqref="L11:L30">
    <cfRule type="containsText" dxfId="100" priority="26" operator="containsText" text="value">
      <formula>NOT(ISERROR(SEARCH("value",L11)))</formula>
    </cfRule>
  </conditionalFormatting>
  <conditionalFormatting sqref="L66:L85">
    <cfRule type="containsText" dxfId="99" priority="10" operator="containsText" text="▲">
      <formula>NOT(ISERROR(SEARCH("▲",L66)))</formula>
    </cfRule>
  </conditionalFormatting>
  <conditionalFormatting sqref="L11:M30">
    <cfRule type="cellIs" dxfId="98" priority="34" operator="equal">
      <formula>"Any loss Unacceptable"</formula>
    </cfRule>
    <cfRule type="expression" dxfId="97" priority="35">
      <formula>"p18=""Avoid"""</formula>
    </cfRule>
  </conditionalFormatting>
  <conditionalFormatting sqref="L39:M58">
    <cfRule type="cellIs" dxfId="96" priority="19" operator="equal">
      <formula>"Alternative Compensation"</formula>
    </cfRule>
    <cfRule type="cellIs" dxfId="95" priority="20" operator="equal">
      <formula>"Unacceptable Loss"</formula>
    </cfRule>
    <cfRule type="cellIs" dxfId="94" priority="21" operator="equal">
      <formula>"Compensation Agreed"</formula>
    </cfRule>
  </conditionalFormatting>
  <conditionalFormatting sqref="L66:M85">
    <cfRule type="cellIs" dxfId="93" priority="11" operator="equal">
      <formula>"Alternative Compensation"</formula>
    </cfRule>
    <cfRule type="cellIs" dxfId="92" priority="12" operator="equal">
      <formula>"Unacceptable Loss"</formula>
    </cfRule>
    <cfRule type="cellIs" dxfId="91" priority="13" operator="equal">
      <formula>"Compensation Agreed"</formula>
    </cfRule>
  </conditionalFormatting>
  <conditionalFormatting sqref="L86:M86">
    <cfRule type="expression" dxfId="90" priority="52">
      <formula>"p18=""Avoid"""</formula>
    </cfRule>
    <cfRule type="cellIs" dxfId="89" priority="51" operator="equal">
      <formula>"Any loss Unacceptable"</formula>
    </cfRule>
  </conditionalFormatting>
  <conditionalFormatting sqref="L39:N58">
    <cfRule type="containsText" dxfId="88" priority="17" operator="containsText" text="▲">
      <formula>NOT(ISERROR(SEARCH("▲",L39)))</formula>
    </cfRule>
    <cfRule type="containsText" dxfId="87" priority="18" operator="containsText" text="value">
      <formula>NOT(ISERROR(SEARCH("value",L39)))</formula>
    </cfRule>
  </conditionalFormatting>
  <conditionalFormatting sqref="M11:N30">
    <cfRule type="containsText" dxfId="86" priority="27" operator="containsText" text="error">
      <formula>NOT(ISERROR(SEARCH("error",M11)))</formula>
    </cfRule>
  </conditionalFormatting>
  <conditionalFormatting sqref="M66:N85">
    <cfRule type="containsText" dxfId="85" priority="5" operator="containsText" text="Error">
      <formula>NOT(ISERROR(SEARCH("Error",M66)))</formula>
    </cfRule>
  </conditionalFormatting>
  <conditionalFormatting sqref="N11:N30">
    <cfRule type="cellIs" dxfId="84" priority="28" operator="equal">
      <formula>"Alternative Compensation"</formula>
    </cfRule>
    <cfRule type="cellIs" dxfId="83" priority="29" operator="equal">
      <formula>"Unacceptable Loss"</formula>
    </cfRule>
    <cfRule type="cellIs" dxfId="82" priority="30" operator="equal">
      <formula>"Compensation Agreed"</formula>
    </cfRule>
  </conditionalFormatting>
  <conditionalFormatting sqref="P1:P5 I60:N60 J66:K85">
    <cfRule type="containsText" dxfId="81" priority="3" operator="containsText" text="▲">
      <formula>NOT(ISERROR(SEARCH("▲",P1)))</formula>
    </cfRule>
  </conditionalFormatting>
  <conditionalFormatting sqref="X11:X30">
    <cfRule type="cellIs" dxfId="80" priority="61" operator="equal">
      <formula>"Not Possible"</formula>
    </cfRule>
  </conditionalFormatting>
  <conditionalFormatting sqref="X39:X58">
    <cfRule type="cellIs" dxfId="79" priority="55" operator="equal">
      <formula>"Not Possible"</formula>
    </cfRule>
  </conditionalFormatting>
  <conditionalFormatting sqref="AG11:AG30">
    <cfRule type="cellIs" dxfId="78" priority="60" operator="equal">
      <formula>"Unacceptable Loss"</formula>
    </cfRule>
  </conditionalFormatting>
  <conditionalFormatting sqref="AJ66:AJ85">
    <cfRule type="cellIs" dxfId="77"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947" customWidth="1"/>
    <col min="37" max="37" width="4.42578125" style="947" hidden="1" customWidth="1"/>
    <col min="38" max="38" width="5.28515625" style="947" hidden="1" customWidth="1"/>
    <col min="39" max="39" width="6.7109375" style="947" hidden="1" customWidth="1"/>
    <col min="40" max="40" width="12.28515625" style="947"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520" customFormat="1" ht="15.75" customHeight="1" x14ac:dyDescent="0.25">
      <c r="I1" s="538"/>
      <c r="J1" s="538"/>
      <c r="K1" s="538"/>
      <c r="L1" s="538"/>
      <c r="M1" s="538"/>
      <c r="N1" s="538"/>
      <c r="O1" s="640" t="s">
        <v>66</v>
      </c>
      <c r="P1" s="757">
        <f>IFERROR(SUM(AE11:AE30), "Error ▲")</f>
        <v>0</v>
      </c>
      <c r="R1" s="410" t="s">
        <v>67</v>
      </c>
      <c r="T1" s="521"/>
      <c r="AJ1" s="643"/>
      <c r="AK1" s="643"/>
      <c r="AL1" s="643"/>
      <c r="AM1" s="643"/>
      <c r="AN1" s="643"/>
    </row>
    <row r="2" spans="1:44" s="520" customFormat="1" ht="19.899999999999999" customHeight="1" x14ac:dyDescent="0.3">
      <c r="B2" s="566" t="s">
        <v>68</v>
      </c>
      <c r="C2" s="409" t="str">
        <f>IF('2. Site Details'!D4="","Enter site name on 2. Site Details",'2. Site Details'!D4)</f>
        <v>Kennally SSJ</v>
      </c>
      <c r="D2" s="408"/>
      <c r="F2" s="407" t="s">
        <v>259</v>
      </c>
      <c r="G2" s="406"/>
      <c r="H2" s="405"/>
      <c r="I2" s="567"/>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c r="AJ2" s="643"/>
      <c r="AK2" s="643"/>
      <c r="AL2" s="643"/>
      <c r="AM2" s="643"/>
      <c r="AN2" s="643"/>
    </row>
    <row r="3" spans="1:44" s="520" customFormat="1" ht="19.899999999999999" customHeight="1" x14ac:dyDescent="0.3">
      <c r="B3" s="568" t="s">
        <v>16</v>
      </c>
      <c r="C3" s="397" t="s">
        <v>260</v>
      </c>
      <c r="D3" s="396"/>
      <c r="F3" s="404"/>
      <c r="G3" s="403"/>
      <c r="H3" s="402"/>
      <c r="I3" s="567"/>
      <c r="J3" s="398"/>
      <c r="K3" s="398"/>
      <c r="L3" s="398"/>
      <c r="M3" s="398"/>
      <c r="N3" s="567"/>
      <c r="O3" s="569" t="s">
        <v>72</v>
      </c>
      <c r="P3" s="757">
        <f>IFERROR(L59, "Error ▲")</f>
        <v>0</v>
      </c>
      <c r="R3" s="410"/>
      <c r="T3" s="521"/>
      <c r="AJ3" s="643"/>
      <c r="AK3" s="643"/>
      <c r="AL3" s="643"/>
      <c r="AM3" s="643"/>
      <c r="AN3" s="643"/>
    </row>
    <row r="4" spans="1:44" s="520" customFormat="1" ht="19.899999999999999" customHeight="1" x14ac:dyDescent="0.25">
      <c r="B4" s="570"/>
      <c r="C4" s="570"/>
      <c r="D4" s="570"/>
      <c r="F4" s="404"/>
      <c r="G4" s="403"/>
      <c r="H4" s="402"/>
      <c r="I4" s="567"/>
      <c r="J4" s="398"/>
      <c r="K4" s="398"/>
      <c r="L4" s="398"/>
      <c r="M4" s="398"/>
      <c r="N4" s="567"/>
      <c r="O4" s="569" t="s">
        <v>73</v>
      </c>
      <c r="P4" s="757">
        <f>IFERROR(L86, "Error ▲")</f>
        <v>0</v>
      </c>
      <c r="R4" s="410"/>
      <c r="T4" s="521"/>
      <c r="AJ4" s="643"/>
      <c r="AK4" s="643"/>
      <c r="AL4" s="643"/>
      <c r="AM4" s="643"/>
      <c r="AN4" s="643"/>
    </row>
    <row r="5" spans="1:44" s="520" customFormat="1" ht="19.899999999999999" customHeight="1" x14ac:dyDescent="0.25">
      <c r="A5" s="571"/>
      <c r="F5" s="404"/>
      <c r="G5" s="403"/>
      <c r="H5" s="402"/>
      <c r="I5" s="567"/>
      <c r="J5" s="398"/>
      <c r="K5" s="398"/>
      <c r="L5" s="398"/>
      <c r="M5" s="398"/>
      <c r="N5" s="567"/>
      <c r="O5" s="572" t="s">
        <v>74</v>
      </c>
      <c r="P5" s="758">
        <f>IFERROR(P1+L59+L86-L31, "Error ▲")</f>
        <v>0</v>
      </c>
      <c r="R5" s="410"/>
      <c r="T5" s="521"/>
      <c r="AJ5" s="643"/>
      <c r="AK5" s="643"/>
      <c r="AL5" s="643"/>
      <c r="AM5" s="643"/>
      <c r="AN5" s="643"/>
    </row>
    <row r="6" spans="1:44" s="520" customFormat="1" ht="13.15" customHeight="1" x14ac:dyDescent="0.25">
      <c r="A6" s="571"/>
      <c r="F6" s="401"/>
      <c r="G6" s="400"/>
      <c r="H6" s="399"/>
      <c r="I6" s="538"/>
      <c r="J6" s="538"/>
      <c r="K6" s="521"/>
      <c r="L6" s="538"/>
      <c r="M6" s="538"/>
      <c r="N6" s="538"/>
      <c r="O6" s="573"/>
      <c r="P6" s="521"/>
      <c r="R6" s="410"/>
      <c r="T6" s="521"/>
      <c r="AJ6" s="643"/>
      <c r="AK6" s="643"/>
      <c r="AL6" s="643"/>
      <c r="AM6" s="643"/>
      <c r="AN6" s="643"/>
      <c r="AR6" s="643"/>
    </row>
    <row r="7" spans="1:44" s="520" customFormat="1" ht="19.149999999999999" customHeight="1" x14ac:dyDescent="0.35">
      <c r="B7" s="543" t="s">
        <v>75</v>
      </c>
      <c r="D7" s="574"/>
      <c r="H7" s="521"/>
      <c r="K7" s="521"/>
      <c r="L7" s="974"/>
      <c r="M7" s="525"/>
      <c r="N7" s="525"/>
      <c r="R7" s="410"/>
      <c r="T7" s="521"/>
      <c r="AJ7" s="643"/>
      <c r="AK7" s="643"/>
      <c r="AL7" s="643"/>
      <c r="AM7" s="643"/>
      <c r="AN7" s="643"/>
      <c r="AR7" s="643"/>
    </row>
    <row r="8" spans="1:44" s="520" customFormat="1" ht="10.9" customHeight="1" x14ac:dyDescent="0.25">
      <c r="A8" s="575"/>
      <c r="R8" s="410"/>
      <c r="AJ8" s="643"/>
      <c r="AK8" s="643"/>
      <c r="AL8" s="643"/>
      <c r="AM8" s="643"/>
      <c r="AN8" s="643"/>
      <c r="AR8" s="643"/>
    </row>
    <row r="9" spans="1:44" s="520" customFormat="1" ht="29.65" customHeight="1" x14ac:dyDescent="0.25">
      <c r="A9" s="575"/>
      <c r="B9" s="395" t="s">
        <v>60</v>
      </c>
      <c r="C9" s="393" t="s">
        <v>76</v>
      </c>
      <c r="D9" s="392"/>
      <c r="E9" s="391"/>
      <c r="F9" s="390" t="s">
        <v>77</v>
      </c>
      <c r="G9" s="389"/>
      <c r="H9" s="388"/>
      <c r="I9" s="393" t="s">
        <v>261</v>
      </c>
      <c r="J9" s="392"/>
      <c r="K9" s="391"/>
      <c r="L9" s="384" t="s">
        <v>79</v>
      </c>
      <c r="M9" s="383"/>
      <c r="N9" s="382"/>
      <c r="O9" s="384" t="s">
        <v>80</v>
      </c>
      <c r="P9" s="382"/>
      <c r="R9" s="410"/>
      <c r="T9" s="381" t="s">
        <v>81</v>
      </c>
      <c r="U9" s="380"/>
      <c r="V9" s="379"/>
      <c r="W9" s="132" t="s">
        <v>82</v>
      </c>
      <c r="X9" s="131"/>
      <c r="Y9" s="377"/>
      <c r="Z9" s="377"/>
      <c r="AA9" s="377"/>
      <c r="AB9" s="132" t="s">
        <v>83</v>
      </c>
      <c r="AC9" s="130"/>
      <c r="AD9" s="131"/>
      <c r="AE9" s="381" t="s">
        <v>84</v>
      </c>
      <c r="AF9" s="380"/>
      <c r="AG9" s="379"/>
      <c r="AH9" s="381" t="s">
        <v>85</v>
      </c>
      <c r="AI9" s="208" t="s">
        <v>86</v>
      </c>
      <c r="AJ9" s="128" t="s">
        <v>262</v>
      </c>
      <c r="AK9" s="643"/>
      <c r="AL9" s="643"/>
      <c r="AM9" s="643"/>
      <c r="AN9" s="909"/>
      <c r="AR9" s="643"/>
    </row>
    <row r="10" spans="1:44" s="520" customFormat="1" ht="31.9" customHeight="1" x14ac:dyDescent="0.25">
      <c r="A10" s="575"/>
      <c r="B10" s="394"/>
      <c r="C10" s="572" t="s">
        <v>87</v>
      </c>
      <c r="D10" s="189" t="s">
        <v>88</v>
      </c>
      <c r="E10" s="188"/>
      <c r="F10" s="135"/>
      <c r="G10" s="134"/>
      <c r="H10" s="133"/>
      <c r="I10" s="572" t="s">
        <v>233</v>
      </c>
      <c r="J10" s="682" t="s">
        <v>234</v>
      </c>
      <c r="K10" s="576" t="s">
        <v>235</v>
      </c>
      <c r="L10" s="572" t="s">
        <v>236</v>
      </c>
      <c r="M10" s="682" t="s">
        <v>237</v>
      </c>
      <c r="N10" s="576" t="s">
        <v>94</v>
      </c>
      <c r="O10" s="572" t="s">
        <v>95</v>
      </c>
      <c r="P10" s="576" t="s">
        <v>96</v>
      </c>
      <c r="R10" s="410"/>
      <c r="T10" s="370" t="s">
        <v>97</v>
      </c>
      <c r="U10" s="369"/>
      <c r="V10" s="578" t="s">
        <v>98</v>
      </c>
      <c r="W10" s="853" t="s">
        <v>99</v>
      </c>
      <c r="X10" s="849" t="s">
        <v>98</v>
      </c>
      <c r="Y10" s="851"/>
      <c r="Z10" s="845"/>
      <c r="AA10" s="845"/>
      <c r="AB10" s="834" t="s">
        <v>83</v>
      </c>
      <c r="AC10" s="834" t="s">
        <v>83</v>
      </c>
      <c r="AD10" s="849" t="s">
        <v>100</v>
      </c>
      <c r="AE10" s="577" t="s">
        <v>101</v>
      </c>
      <c r="AF10" s="535" t="s">
        <v>102</v>
      </c>
      <c r="AG10" s="578" t="s">
        <v>103</v>
      </c>
      <c r="AH10" s="370"/>
      <c r="AI10" s="129"/>
      <c r="AJ10" s="128"/>
      <c r="AK10" s="643"/>
      <c r="AL10" s="643"/>
      <c r="AM10" s="643"/>
      <c r="AO10" s="909"/>
      <c r="AR10" s="643" t="s">
        <v>263</v>
      </c>
    </row>
    <row r="11" spans="1:44" s="520" customFormat="1" ht="15.6" customHeight="1" x14ac:dyDescent="0.25">
      <c r="A11" s="575"/>
      <c r="B11" s="750">
        <v>1</v>
      </c>
      <c r="C11" s="1033" t="s">
        <v>264</v>
      </c>
      <c r="D11" s="290"/>
      <c r="E11" s="290"/>
      <c r="F11" s="127"/>
      <c r="G11" s="127"/>
      <c r="H11" s="127"/>
      <c r="I11" s="948"/>
      <c r="J11" s="783"/>
      <c r="K11" s="784"/>
      <c r="L11" s="943" t="str">
        <f t="shared" ref="L11:L30" si="0">IF(D11="","",IFERROR(IF(I11="","",((I11/1000)*V11*X11)*AD11*AJ11),"This intervention is not permitted within the SSM ▲"))</f>
        <v/>
      </c>
      <c r="M11" s="886" t="str">
        <f t="shared" ref="M11:M30" si="1">IF(I11="","",IF(J11+K11&gt;I11,"Length Error ▲",I11-J11-K11))</f>
        <v/>
      </c>
      <c r="N11" s="943" t="str">
        <f t="shared" ref="N11:N30" si="2">IFERROR(IF(I11="","",IF(M11="Length Error ▲","Length Error ▲",((M11/1000)*V11*X11)*AD11*AJ11)),"This intervention is not permitted within the SSM ▲")</f>
        <v/>
      </c>
      <c r="O11" s="554"/>
      <c r="P11" s="630"/>
      <c r="R11" s="410"/>
      <c r="T11" s="363" t="str">
        <f>IF(D11="","",VLOOKUP(D11,'9. All Habitats + Multipliers'!$C$4:$K$102,5,FALSE))</f>
        <v/>
      </c>
      <c r="U11" s="362"/>
      <c r="V11" s="582" t="str">
        <f>IF(T11="","",VLOOKUP(T11,'11. Lists'!$B$47:$D$49,2,FALSE))</f>
        <v/>
      </c>
      <c r="W11" s="579" t="str">
        <f>IF(D11="","",VLOOKUP(D11,'10. Condition and Temporal'!$B$6:$C$103,2,FALSE))</f>
        <v/>
      </c>
      <c r="X11" s="582" t="str">
        <f>IF(W11="","",VLOOKUP(W11,'11. Lists'!$F$47:$G$51,2,FALSE))</f>
        <v/>
      </c>
      <c r="Y11" s="852"/>
      <c r="Z11" s="823"/>
      <c r="AA11" s="850"/>
      <c r="AB11" s="581"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IF(D11="","",((K11/1000)*V11*X11)*AD11*AJ11)</f>
        <v/>
      </c>
      <c r="AG11" s="780" t="str">
        <f t="shared" ref="AG11:AG30" si="6">IF(D11="","",M11)</f>
        <v/>
      </c>
      <c r="AH11" s="579" t="str">
        <f>IF(T11="","",VLOOKUP(T11,'11. Lists'!$B$47:$D$49,3,FALSE))</f>
        <v/>
      </c>
      <c r="AI11" s="824" t="str">
        <f>IF(D11="","",VLOOKUP(D11,'10. Condition and Temporal'!$B$6:$L$103,4,FALSE))</f>
        <v/>
      </c>
      <c r="AJ11" s="953" t="str" cm="1">
        <f t="array" ref="AJ11:AK30">IF($D$11:$E$30="Culvert","0.68","1")</f>
        <v>1</v>
      </c>
      <c r="AK11" s="643" t="str">
        <v>1</v>
      </c>
      <c r="AL11" s="643"/>
      <c r="AM11" s="643"/>
      <c r="AN11" s="909"/>
      <c r="AR11" s="643" t="str">
        <f t="shared" ref="AR11:AR30" si="7">IF(D11="","",IFERROR(IF(I11="","",((I11/1000)*V11*X11)*AD11),"This intervention is not permitted within the SSM ▲"))</f>
        <v/>
      </c>
    </row>
    <row r="12" spans="1:44" s="520" customFormat="1" ht="15.6" customHeight="1" x14ac:dyDescent="0.25">
      <c r="B12" s="744">
        <v>2</v>
      </c>
      <c r="C12" s="1034" t="s">
        <v>264</v>
      </c>
      <c r="D12" s="290"/>
      <c r="E12" s="290"/>
      <c r="F12" s="127"/>
      <c r="G12" s="127"/>
      <c r="H12" s="127"/>
      <c r="I12" s="949"/>
      <c r="J12" s="786"/>
      <c r="K12" s="787"/>
      <c r="L12" s="944" t="str">
        <f t="shared" si="0"/>
        <v/>
      </c>
      <c r="M12" s="781" t="str">
        <f t="shared" si="1"/>
        <v/>
      </c>
      <c r="N12" s="944" t="str">
        <f t="shared" si="2"/>
        <v/>
      </c>
      <c r="O12" s="554"/>
      <c r="P12" s="499"/>
      <c r="R12" s="410"/>
      <c r="T12" s="363" t="str">
        <f>IF(D12="","",VLOOKUP(D12,'9. All Habitats + Multipliers'!$C$4:$K$102,5,FALSE))</f>
        <v/>
      </c>
      <c r="U12" s="362"/>
      <c r="V12" s="582" t="str">
        <f>IF(T12="","",VLOOKUP(T12,'11. Lists'!$B$47:$D$49,2,FALSE))</f>
        <v/>
      </c>
      <c r="W12" s="579" t="str">
        <f>IF(D12="","",VLOOKUP(D12,'10. Condition and Temporal'!$B$6:$C$103,2,FALSE))</f>
        <v/>
      </c>
      <c r="X12" s="582" t="str">
        <f>IF(W12="","",VLOOKUP(W12,'11. Lists'!$F$47:$G$51,2,FALSE))</f>
        <v/>
      </c>
      <c r="Y12" s="852"/>
      <c r="Z12" s="823"/>
      <c r="AA12" s="850"/>
      <c r="AB12" s="581" t="str">
        <f t="shared" si="3"/>
        <v/>
      </c>
      <c r="AC12" s="581" t="str">
        <f>IF(AB12="","",VLOOKUP(AB12,'11. Lists'!$F$36:$H$38,2,FALSE))</f>
        <v/>
      </c>
      <c r="AD12" s="580" t="str">
        <f>IF(AB12="","",VLOOKUP(AB12,'11. Lists'!$F$36:$H$38,3,FALSE))</f>
        <v/>
      </c>
      <c r="AE12" s="778" t="str">
        <f t="shared" si="4"/>
        <v/>
      </c>
      <c r="AF12" s="779" t="str">
        <f t="shared" si="5"/>
        <v/>
      </c>
      <c r="AG12" s="780" t="str">
        <f t="shared" si="6"/>
        <v/>
      </c>
      <c r="AH12" s="579" t="str">
        <f>IF(T12="","",VLOOKUP(T12,'11. Lists'!$B$47:$D$49,3,FALSE))</f>
        <v/>
      </c>
      <c r="AI12" s="824" t="str">
        <f>IF(D12="","",VLOOKUP(D12,'10. Condition and Temporal'!$B$6:$L$103,4,FALSE))</f>
        <v/>
      </c>
      <c r="AJ12" s="953" t="str">
        <v>1</v>
      </c>
      <c r="AK12" s="643" t="str">
        <v>1</v>
      </c>
      <c r="AL12" s="643"/>
      <c r="AM12" s="643"/>
      <c r="AN12" s="909"/>
      <c r="AR12" s="643" t="str">
        <f t="shared" si="7"/>
        <v/>
      </c>
    </row>
    <row r="13" spans="1:44" s="520" customFormat="1" ht="15.6" customHeight="1" x14ac:dyDescent="0.25">
      <c r="B13" s="744">
        <v>3</v>
      </c>
      <c r="C13" s="1034" t="s">
        <v>264</v>
      </c>
      <c r="D13" s="290"/>
      <c r="E13" s="290"/>
      <c r="F13" s="127"/>
      <c r="G13" s="127"/>
      <c r="H13" s="127"/>
      <c r="I13" s="949"/>
      <c r="J13" s="786"/>
      <c r="K13" s="787"/>
      <c r="L13" s="944" t="str">
        <f t="shared" si="0"/>
        <v/>
      </c>
      <c r="M13" s="781" t="str">
        <f t="shared" si="1"/>
        <v/>
      </c>
      <c r="N13" s="944" t="str">
        <f t="shared" si="2"/>
        <v/>
      </c>
      <c r="O13" s="554"/>
      <c r="P13" s="499"/>
      <c r="R13" s="410"/>
      <c r="T13" s="363" t="str">
        <f>IF(D13="","",VLOOKUP(D13,'9. All Habitats + Multipliers'!$C$4:$K$102,5,FALSE))</f>
        <v/>
      </c>
      <c r="U13" s="362"/>
      <c r="V13" s="582" t="str">
        <f>IF(T13="","",VLOOKUP(T13,'11. Lists'!$B$47:$D$49,2,FALSE))</f>
        <v/>
      </c>
      <c r="W13" s="579" t="str">
        <f>IF(D13="","",VLOOKUP(D13,'10. Condition and Temporal'!$B$6:$C$103,2,FALSE))</f>
        <v/>
      </c>
      <c r="X13" s="582" t="str">
        <f>IF(W13="","",VLOOKUP(W13,'11. Lists'!$F$47:$G$51,2,FALSE))</f>
        <v/>
      </c>
      <c r="Y13" s="852"/>
      <c r="Z13" s="823"/>
      <c r="AA13" s="850"/>
      <c r="AB13" s="581" t="str">
        <f t="shared" si="3"/>
        <v/>
      </c>
      <c r="AC13" s="581" t="str">
        <f>IF(AB13="","",VLOOKUP(AB13,'11. Lists'!$F$36:$H$38,2,FALSE))</f>
        <v/>
      </c>
      <c r="AD13" s="580" t="str">
        <f>IF(AB13="","",VLOOKUP(AB13,'11. Lists'!$F$36:$H$38,3,FALSE))</f>
        <v/>
      </c>
      <c r="AE13" s="778" t="str">
        <f t="shared" si="4"/>
        <v/>
      </c>
      <c r="AF13" s="779" t="str">
        <f t="shared" si="5"/>
        <v/>
      </c>
      <c r="AG13" s="780" t="str">
        <f t="shared" si="6"/>
        <v/>
      </c>
      <c r="AH13" s="579" t="str">
        <f>IF(T13="","",VLOOKUP(T13,'11. Lists'!$B$47:$D$49,3,FALSE))</f>
        <v/>
      </c>
      <c r="AI13" s="824" t="str">
        <f>IF(D13="","",VLOOKUP(D13,'10. Condition and Temporal'!$B$6:$L$103,4,FALSE))</f>
        <v/>
      </c>
      <c r="AJ13" s="953" t="str">
        <v>1</v>
      </c>
      <c r="AK13" s="643" t="str">
        <v>1</v>
      </c>
      <c r="AL13" s="643"/>
      <c r="AM13" s="643"/>
      <c r="AN13" s="909"/>
      <c r="AR13" s="643" t="str">
        <f t="shared" si="7"/>
        <v/>
      </c>
    </row>
    <row r="14" spans="1:44" s="520" customFormat="1" ht="15.6" customHeight="1" x14ac:dyDescent="0.25">
      <c r="B14" s="744">
        <v>4</v>
      </c>
      <c r="C14" s="1034" t="s">
        <v>264</v>
      </c>
      <c r="D14" s="290"/>
      <c r="E14" s="290"/>
      <c r="F14" s="127"/>
      <c r="G14" s="127"/>
      <c r="H14" s="127"/>
      <c r="I14" s="949"/>
      <c r="J14" s="786"/>
      <c r="K14" s="787"/>
      <c r="L14" s="944" t="str">
        <f t="shared" si="0"/>
        <v/>
      </c>
      <c r="M14" s="781" t="str">
        <f t="shared" si="1"/>
        <v/>
      </c>
      <c r="N14" s="944" t="str">
        <f t="shared" si="2"/>
        <v/>
      </c>
      <c r="O14" s="554"/>
      <c r="P14" s="499"/>
      <c r="R14" s="410"/>
      <c r="T14" s="363" t="str">
        <f>IF(D14="","",VLOOKUP(D14,'9. All Habitats + Multipliers'!$C$4:$K$102,5,FALSE))</f>
        <v/>
      </c>
      <c r="U14" s="362"/>
      <c r="V14" s="582" t="str">
        <f>IF(T14="","",VLOOKUP(T14,'11. Lists'!$B$47:$D$49,2,FALSE))</f>
        <v/>
      </c>
      <c r="W14" s="579" t="str">
        <f>IF(D14="","",VLOOKUP(D14,'10. Condition and Temporal'!$B$6:$C$103,2,FALSE))</f>
        <v/>
      </c>
      <c r="X14" s="582" t="str">
        <f>IF(W14="","",VLOOKUP(W14,'11. Lists'!$F$47:$G$51,2,FALSE))</f>
        <v/>
      </c>
      <c r="Y14" s="852"/>
      <c r="Z14" s="823"/>
      <c r="AA14" s="850"/>
      <c r="AB14" s="581" t="str">
        <f t="shared" si="3"/>
        <v/>
      </c>
      <c r="AC14" s="581" t="str">
        <f>IF(AB14="","",VLOOKUP(AB14,'11. Lists'!$F$36:$H$38,2,FALSE))</f>
        <v/>
      </c>
      <c r="AD14" s="580" t="str">
        <f>IF(AB14="","",VLOOKUP(AB14,'11. Lists'!$F$36:$H$38,3,FALSE))</f>
        <v/>
      </c>
      <c r="AE14" s="778" t="str">
        <f t="shared" si="4"/>
        <v/>
      </c>
      <c r="AF14" s="779" t="str">
        <f t="shared" si="5"/>
        <v/>
      </c>
      <c r="AG14" s="780" t="str">
        <f t="shared" si="6"/>
        <v/>
      </c>
      <c r="AH14" s="579" t="str">
        <f>IF(T14="","",VLOOKUP(T14,'11. Lists'!$B$47:$D$49,3,FALSE))</f>
        <v/>
      </c>
      <c r="AI14" s="824" t="str">
        <f>IF(D14="","",VLOOKUP(D14,'10. Condition and Temporal'!$B$6:$L$103,4,FALSE))</f>
        <v/>
      </c>
      <c r="AJ14" s="953" t="str">
        <v>1</v>
      </c>
      <c r="AK14" s="643" t="str">
        <v>1</v>
      </c>
      <c r="AL14" s="643"/>
      <c r="AM14" s="643"/>
      <c r="AN14" s="909"/>
      <c r="AR14" s="643" t="str">
        <f t="shared" si="7"/>
        <v/>
      </c>
    </row>
    <row r="15" spans="1:44" s="520" customFormat="1" ht="15.6" customHeight="1" x14ac:dyDescent="0.25">
      <c r="B15" s="744">
        <v>5</v>
      </c>
      <c r="C15" s="1034" t="s">
        <v>264</v>
      </c>
      <c r="D15" s="290"/>
      <c r="E15" s="290"/>
      <c r="F15" s="127"/>
      <c r="G15" s="127"/>
      <c r="H15" s="127"/>
      <c r="I15" s="949"/>
      <c r="J15" s="786"/>
      <c r="K15" s="787"/>
      <c r="L15" s="944" t="str">
        <f t="shared" si="0"/>
        <v/>
      </c>
      <c r="M15" s="781" t="str">
        <f t="shared" si="1"/>
        <v/>
      </c>
      <c r="N15" s="944" t="str">
        <f t="shared" si="2"/>
        <v/>
      </c>
      <c r="O15" s="554"/>
      <c r="P15" s="499"/>
      <c r="R15" s="410"/>
      <c r="T15" s="363" t="str">
        <f>IF(D15="","",VLOOKUP(D15,'9. All Habitats + Multipliers'!$C$4:$K$102,5,FALSE))</f>
        <v/>
      </c>
      <c r="U15" s="362"/>
      <c r="V15" s="582" t="str">
        <f>IF(T15="","",VLOOKUP(T15,'11. Lists'!$B$47:$D$49,2,FALSE))</f>
        <v/>
      </c>
      <c r="W15" s="579" t="str">
        <f>IF(D15="","",VLOOKUP(D15,'10. Condition and Temporal'!$B$6:$C$103,2,FALSE))</f>
        <v/>
      </c>
      <c r="X15" s="582" t="str">
        <f>IF(W15="","",VLOOKUP(W15,'11. Lists'!$F$47:$G$51,2,FALSE))</f>
        <v/>
      </c>
      <c r="Y15" s="852"/>
      <c r="Z15" s="823"/>
      <c r="AA15" s="850"/>
      <c r="AB15" s="581" t="str">
        <f t="shared" si="3"/>
        <v/>
      </c>
      <c r="AC15" s="581" t="str">
        <f>IF(AB15="","",VLOOKUP(AB15,'11. Lists'!$F$36:$H$38,2,FALSE))</f>
        <v/>
      </c>
      <c r="AD15" s="580" t="str">
        <f>IF(AB15="","",VLOOKUP(AB15,'11. Lists'!$F$36:$H$38,3,FALSE))</f>
        <v/>
      </c>
      <c r="AE15" s="778" t="str">
        <f t="shared" si="4"/>
        <v/>
      </c>
      <c r="AF15" s="779" t="str">
        <f t="shared" si="5"/>
        <v/>
      </c>
      <c r="AG15" s="780" t="str">
        <f t="shared" si="6"/>
        <v/>
      </c>
      <c r="AH15" s="579" t="str">
        <f>IF(T15="","",VLOOKUP(T15,'11. Lists'!$B$47:$D$49,3,FALSE))</f>
        <v/>
      </c>
      <c r="AI15" s="824" t="str">
        <f>IF(D15="","",VLOOKUP(D15,'10. Condition and Temporal'!$B$6:$L$103,4,FALSE))</f>
        <v/>
      </c>
      <c r="AJ15" s="953" t="str">
        <v>1</v>
      </c>
      <c r="AK15" s="643" t="str">
        <v>1</v>
      </c>
      <c r="AL15" s="643"/>
      <c r="AM15" s="643"/>
      <c r="AN15" s="909"/>
      <c r="AR15" s="643" t="str">
        <f t="shared" si="7"/>
        <v/>
      </c>
    </row>
    <row r="16" spans="1:44" s="520" customFormat="1" ht="15.6" customHeight="1" x14ac:dyDescent="0.25">
      <c r="B16" s="744">
        <v>6</v>
      </c>
      <c r="C16" s="1034" t="s">
        <v>264</v>
      </c>
      <c r="D16" s="290"/>
      <c r="E16" s="290"/>
      <c r="F16" s="127"/>
      <c r="G16" s="127"/>
      <c r="H16" s="127"/>
      <c r="I16" s="949"/>
      <c r="J16" s="786"/>
      <c r="K16" s="787"/>
      <c r="L16" s="944" t="str">
        <f t="shared" si="0"/>
        <v/>
      </c>
      <c r="M16" s="781" t="str">
        <f t="shared" si="1"/>
        <v/>
      </c>
      <c r="N16" s="944" t="str">
        <f t="shared" si="2"/>
        <v/>
      </c>
      <c r="O16" s="554"/>
      <c r="P16" s="499"/>
      <c r="R16" s="410"/>
      <c r="T16" s="363" t="str">
        <f>IF(D16="","",VLOOKUP(D16,'9. All Habitats + Multipliers'!$C$4:$K$102,5,FALSE))</f>
        <v/>
      </c>
      <c r="U16" s="362"/>
      <c r="V16" s="582" t="str">
        <f>IF(T16="","",VLOOKUP(T16,'11. Lists'!$B$47:$D$49,2,FALSE))</f>
        <v/>
      </c>
      <c r="W16" s="579" t="str">
        <f>IF(D16="","",VLOOKUP(D16,'10. Condition and Temporal'!$B$6:$C$103,2,FALSE))</f>
        <v/>
      </c>
      <c r="X16" s="582" t="str">
        <f>IF(W16="","",VLOOKUP(W16,'11. Lists'!$F$47:$G$51,2,FALSE))</f>
        <v/>
      </c>
      <c r="Y16" s="852"/>
      <c r="Z16" s="823"/>
      <c r="AA16" s="850"/>
      <c r="AB16" s="581" t="str">
        <f t="shared" si="3"/>
        <v/>
      </c>
      <c r="AC16" s="581" t="str">
        <f>IF(AB16="","",VLOOKUP(AB16,'11. Lists'!$F$36:$H$38,2,FALSE))</f>
        <v/>
      </c>
      <c r="AD16" s="580" t="str">
        <f>IF(AB16="","",VLOOKUP(AB16,'11. Lists'!$F$36:$H$38,3,FALSE))</f>
        <v/>
      </c>
      <c r="AE16" s="778" t="str">
        <f t="shared" si="4"/>
        <v/>
      </c>
      <c r="AF16" s="779" t="str">
        <f t="shared" si="5"/>
        <v/>
      </c>
      <c r="AG16" s="780" t="str">
        <f t="shared" si="6"/>
        <v/>
      </c>
      <c r="AH16" s="579" t="str">
        <f>IF(T16="","",VLOOKUP(T16,'11. Lists'!$B$47:$D$49,3,FALSE))</f>
        <v/>
      </c>
      <c r="AI16" s="824" t="str">
        <f>IF(D16="","",VLOOKUP(D16,'10. Condition and Temporal'!$B$6:$L$103,4,FALSE))</f>
        <v/>
      </c>
      <c r="AJ16" s="953" t="str">
        <v>1</v>
      </c>
      <c r="AK16" s="643" t="str">
        <v>1</v>
      </c>
      <c r="AL16" s="643"/>
      <c r="AM16" s="643"/>
      <c r="AN16" s="909"/>
      <c r="AR16" s="643" t="str">
        <f t="shared" si="7"/>
        <v/>
      </c>
    </row>
    <row r="17" spans="2:44" s="520" customFormat="1" ht="15.6" customHeight="1" x14ac:dyDescent="0.25">
      <c r="B17" s="744">
        <v>7</v>
      </c>
      <c r="C17" s="1034" t="s">
        <v>264</v>
      </c>
      <c r="D17" s="290"/>
      <c r="E17" s="290"/>
      <c r="F17" s="127"/>
      <c r="G17" s="127"/>
      <c r="H17" s="127"/>
      <c r="I17" s="949"/>
      <c r="J17" s="786"/>
      <c r="K17" s="787"/>
      <c r="L17" s="944" t="str">
        <f t="shared" si="0"/>
        <v/>
      </c>
      <c r="M17" s="781" t="str">
        <f t="shared" si="1"/>
        <v/>
      </c>
      <c r="N17" s="944" t="str">
        <f t="shared" si="2"/>
        <v/>
      </c>
      <c r="O17" s="554"/>
      <c r="P17" s="499"/>
      <c r="R17" s="410"/>
      <c r="T17" s="363" t="str">
        <f>IF(D17="","",VLOOKUP(D17,'9. All Habitats + Multipliers'!$C$4:$K$102,5,FALSE))</f>
        <v/>
      </c>
      <c r="U17" s="362"/>
      <c r="V17" s="582" t="str">
        <f>IF(T17="","",VLOOKUP(T17,'11. Lists'!$B$47:$D$49,2,FALSE))</f>
        <v/>
      </c>
      <c r="W17" s="579" t="str">
        <f>IF(D17="","",VLOOKUP(D17,'10. Condition and Temporal'!$B$6:$C$103,2,FALSE))</f>
        <v/>
      </c>
      <c r="X17" s="582" t="str">
        <f>IF(W17="","",VLOOKUP(W17,'11. Lists'!$F$47:$G$51,2,FALSE))</f>
        <v/>
      </c>
      <c r="Y17" s="852"/>
      <c r="Z17" s="823"/>
      <c r="AA17" s="850"/>
      <c r="AB17" s="581" t="str">
        <f t="shared" si="3"/>
        <v/>
      </c>
      <c r="AC17" s="581" t="str">
        <f>IF(AB17="","",VLOOKUP(AB17,'11. Lists'!$F$36:$H$38,2,FALSE))</f>
        <v/>
      </c>
      <c r="AD17" s="580" t="str">
        <f>IF(AB17="","",VLOOKUP(AB17,'11. Lists'!$F$36:$H$38,3,FALSE))</f>
        <v/>
      </c>
      <c r="AE17" s="778" t="str">
        <f t="shared" si="4"/>
        <v/>
      </c>
      <c r="AF17" s="779" t="str">
        <f t="shared" si="5"/>
        <v/>
      </c>
      <c r="AG17" s="780" t="str">
        <f t="shared" si="6"/>
        <v/>
      </c>
      <c r="AH17" s="579" t="str">
        <f>IF(T17="","",VLOOKUP(T17,'11. Lists'!$B$47:$D$49,3,FALSE))</f>
        <v/>
      </c>
      <c r="AI17" s="824" t="str">
        <f>IF(D17="","",VLOOKUP(D17,'10. Condition and Temporal'!$B$6:$L$103,4,FALSE))</f>
        <v/>
      </c>
      <c r="AJ17" s="953" t="str">
        <v>1</v>
      </c>
      <c r="AK17" s="643" t="str">
        <v>1</v>
      </c>
      <c r="AL17" s="643"/>
      <c r="AM17" s="643"/>
      <c r="AN17" s="909"/>
      <c r="AR17" s="643" t="str">
        <f t="shared" si="7"/>
        <v/>
      </c>
    </row>
    <row r="18" spans="2:44" s="520" customFormat="1" ht="15.6" customHeight="1" x14ac:dyDescent="0.25">
      <c r="B18" s="744">
        <v>8</v>
      </c>
      <c r="C18" s="1034" t="s">
        <v>264</v>
      </c>
      <c r="D18" s="290"/>
      <c r="E18" s="290"/>
      <c r="F18" s="127"/>
      <c r="G18" s="127"/>
      <c r="H18" s="127"/>
      <c r="I18" s="949"/>
      <c r="J18" s="786"/>
      <c r="K18" s="787"/>
      <c r="L18" s="944" t="str">
        <f t="shared" si="0"/>
        <v/>
      </c>
      <c r="M18" s="781" t="str">
        <f t="shared" si="1"/>
        <v/>
      </c>
      <c r="N18" s="944" t="str">
        <f t="shared" si="2"/>
        <v/>
      </c>
      <c r="O18" s="554"/>
      <c r="P18" s="499"/>
      <c r="R18" s="410"/>
      <c r="T18" s="363" t="str">
        <f>IF(D18="","",VLOOKUP(D18,'9. All Habitats + Multipliers'!$C$4:$K$102,5,FALSE))</f>
        <v/>
      </c>
      <c r="U18" s="362"/>
      <c r="V18" s="582" t="str">
        <f>IF(T18="","",VLOOKUP(T18,'11. Lists'!$B$47:$D$49,2,FALSE))</f>
        <v/>
      </c>
      <c r="W18" s="579" t="str">
        <f>IF(D18="","",VLOOKUP(D18,'10. Condition and Temporal'!$B$6:$C$103,2,FALSE))</f>
        <v/>
      </c>
      <c r="X18" s="582" t="str">
        <f>IF(W18="","",VLOOKUP(W18,'11. Lists'!$F$47:$G$51,2,FALSE))</f>
        <v/>
      </c>
      <c r="Y18" s="852"/>
      <c r="Z18" s="823"/>
      <c r="AA18" s="850"/>
      <c r="AB18" s="581" t="str">
        <f t="shared" si="3"/>
        <v/>
      </c>
      <c r="AC18" s="581" t="str">
        <f>IF(AB18="","",VLOOKUP(AB18,'11. Lists'!$F$36:$H$38,2,FALSE))</f>
        <v/>
      </c>
      <c r="AD18" s="580" t="str">
        <f>IF(AB18="","",VLOOKUP(AB18,'11. Lists'!$F$36:$H$38,3,FALSE))</f>
        <v/>
      </c>
      <c r="AE18" s="778" t="str">
        <f t="shared" si="4"/>
        <v/>
      </c>
      <c r="AF18" s="779" t="str">
        <f t="shared" si="5"/>
        <v/>
      </c>
      <c r="AG18" s="780" t="str">
        <f t="shared" si="6"/>
        <v/>
      </c>
      <c r="AH18" s="579" t="str">
        <f>IF(T18="","",VLOOKUP(T18,'11. Lists'!$B$47:$D$49,3,FALSE))</f>
        <v/>
      </c>
      <c r="AI18" s="824" t="str">
        <f>IF(D18="","",VLOOKUP(D18,'10. Condition and Temporal'!$B$6:$L$103,4,FALSE))</f>
        <v/>
      </c>
      <c r="AJ18" s="953" t="str">
        <v>1</v>
      </c>
      <c r="AK18" s="643" t="str">
        <v>1</v>
      </c>
      <c r="AL18" s="643"/>
      <c r="AM18" s="643"/>
      <c r="AN18" s="909"/>
      <c r="AR18" s="643" t="str">
        <f t="shared" si="7"/>
        <v/>
      </c>
    </row>
    <row r="19" spans="2:44" s="520" customFormat="1" ht="15.6" customHeight="1" x14ac:dyDescent="0.25">
      <c r="B19" s="744">
        <v>9</v>
      </c>
      <c r="C19" s="1034" t="s">
        <v>264</v>
      </c>
      <c r="D19" s="290"/>
      <c r="E19" s="290"/>
      <c r="F19" s="127"/>
      <c r="G19" s="127"/>
      <c r="H19" s="127"/>
      <c r="I19" s="949"/>
      <c r="J19" s="786"/>
      <c r="K19" s="787"/>
      <c r="L19" s="944" t="str">
        <f t="shared" si="0"/>
        <v/>
      </c>
      <c r="M19" s="781" t="str">
        <f t="shared" si="1"/>
        <v/>
      </c>
      <c r="N19" s="944" t="str">
        <f t="shared" si="2"/>
        <v/>
      </c>
      <c r="O19" s="554"/>
      <c r="P19" s="499"/>
      <c r="R19" s="410"/>
      <c r="T19" s="363" t="str">
        <f>IF(D19="","",VLOOKUP(D19,'9. All Habitats + Multipliers'!$C$4:$K$102,5,FALSE))</f>
        <v/>
      </c>
      <c r="U19" s="362"/>
      <c r="V19" s="582" t="str">
        <f>IF(T19="","",VLOOKUP(T19,'11. Lists'!$B$47:$D$49,2,FALSE))</f>
        <v/>
      </c>
      <c r="W19" s="579" t="str">
        <f>IF(D19="","",VLOOKUP(D19,'10. Condition and Temporal'!$B$6:$C$103,2,FALSE))</f>
        <v/>
      </c>
      <c r="X19" s="582" t="str">
        <f>IF(W19="","",VLOOKUP(W19,'11. Lists'!$F$47:$G$51,2,FALSE))</f>
        <v/>
      </c>
      <c r="Y19" s="852"/>
      <c r="Z19" s="823"/>
      <c r="AA19" s="850"/>
      <c r="AB19" s="581" t="str">
        <f t="shared" si="3"/>
        <v/>
      </c>
      <c r="AC19" s="581" t="str">
        <f>IF(AB19="","",VLOOKUP(AB19,'11. Lists'!$F$36:$H$38,2,FALSE))</f>
        <v/>
      </c>
      <c r="AD19" s="580" t="str">
        <f>IF(AB19="","",VLOOKUP(AB19,'11. Lists'!$F$36:$H$38,3,FALSE))</f>
        <v/>
      </c>
      <c r="AE19" s="778" t="str">
        <f t="shared" si="4"/>
        <v/>
      </c>
      <c r="AF19" s="779" t="str">
        <f t="shared" si="5"/>
        <v/>
      </c>
      <c r="AG19" s="780" t="str">
        <f t="shared" si="6"/>
        <v/>
      </c>
      <c r="AH19" s="579" t="str">
        <f>IF(T19="","",VLOOKUP(T19,'11. Lists'!$B$47:$D$49,3,FALSE))</f>
        <v/>
      </c>
      <c r="AI19" s="824" t="str">
        <f>IF(D19="","",VLOOKUP(D19,'10. Condition and Temporal'!$B$6:$L$103,4,FALSE))</f>
        <v/>
      </c>
      <c r="AJ19" s="953" t="str">
        <v>1</v>
      </c>
      <c r="AK19" s="643" t="str">
        <v>1</v>
      </c>
      <c r="AL19" s="643"/>
      <c r="AM19" s="643"/>
      <c r="AN19" s="909"/>
      <c r="AR19" s="643" t="str">
        <f t="shared" si="7"/>
        <v/>
      </c>
    </row>
    <row r="20" spans="2:44" s="520" customFormat="1" ht="15.6" customHeight="1" x14ac:dyDescent="0.25">
      <c r="B20" s="744">
        <v>10</v>
      </c>
      <c r="C20" s="1034" t="s">
        <v>264</v>
      </c>
      <c r="D20" s="290"/>
      <c r="E20" s="290"/>
      <c r="F20" s="127"/>
      <c r="G20" s="127"/>
      <c r="H20" s="127"/>
      <c r="I20" s="949"/>
      <c r="J20" s="786"/>
      <c r="K20" s="787"/>
      <c r="L20" s="944" t="str">
        <f t="shared" si="0"/>
        <v/>
      </c>
      <c r="M20" s="781" t="str">
        <f t="shared" si="1"/>
        <v/>
      </c>
      <c r="N20" s="944" t="str">
        <f t="shared" si="2"/>
        <v/>
      </c>
      <c r="O20" s="554"/>
      <c r="P20" s="504"/>
      <c r="R20" s="410"/>
      <c r="T20" s="363" t="str">
        <f>IF(D20="","",VLOOKUP(D20,'9. All Habitats + Multipliers'!$C$4:$K$102,5,FALSE))</f>
        <v/>
      </c>
      <c r="U20" s="362"/>
      <c r="V20" s="582" t="str">
        <f>IF(T20="","",VLOOKUP(T20,'11. Lists'!$B$47:$D$49,2,FALSE))</f>
        <v/>
      </c>
      <c r="W20" s="579" t="str">
        <f>IF(D20="","",VLOOKUP(D20,'10. Condition and Temporal'!$B$6:$C$103,2,FALSE))</f>
        <v/>
      </c>
      <c r="X20" s="582" t="str">
        <f>IF(W20="","",VLOOKUP(W20,'11. Lists'!$F$47:$G$51,2,FALSE))</f>
        <v/>
      </c>
      <c r="Y20" s="852"/>
      <c r="Z20" s="823"/>
      <c r="AA20" s="850"/>
      <c r="AB20" s="581" t="str">
        <f t="shared" si="3"/>
        <v/>
      </c>
      <c r="AC20" s="581" t="str">
        <f>IF(AB20="","",VLOOKUP(AB20,'11. Lists'!$F$36:$H$38,2,FALSE))</f>
        <v/>
      </c>
      <c r="AD20" s="580" t="str">
        <f>IF(AB20="","",VLOOKUP(AB20,'11. Lists'!$F$36:$H$38,3,FALSE))</f>
        <v/>
      </c>
      <c r="AE20" s="778" t="str">
        <f t="shared" si="4"/>
        <v/>
      </c>
      <c r="AF20" s="779" t="str">
        <f t="shared" si="5"/>
        <v/>
      </c>
      <c r="AG20" s="780" t="str">
        <f t="shared" si="6"/>
        <v/>
      </c>
      <c r="AH20" s="579" t="str">
        <f>IF(T20="","",VLOOKUP(T20,'11. Lists'!$B$47:$D$49,3,FALSE))</f>
        <v/>
      </c>
      <c r="AI20" s="824" t="str">
        <f>IF(D20="","",VLOOKUP(D20,'10. Condition and Temporal'!$B$6:$L$103,4,FALSE))</f>
        <v/>
      </c>
      <c r="AJ20" s="953" t="str">
        <v>1</v>
      </c>
      <c r="AK20" s="643" t="str">
        <v>1</v>
      </c>
      <c r="AL20" s="643"/>
      <c r="AM20" s="643"/>
      <c r="AN20" s="909"/>
      <c r="AR20" s="643" t="str">
        <f t="shared" si="7"/>
        <v/>
      </c>
    </row>
    <row r="21" spans="2:44" s="520" customFormat="1" ht="15.6" customHeight="1" x14ac:dyDescent="0.25">
      <c r="B21" s="744">
        <v>11</v>
      </c>
      <c r="C21" s="1034" t="s">
        <v>264</v>
      </c>
      <c r="D21" s="290"/>
      <c r="E21" s="290"/>
      <c r="F21" s="127"/>
      <c r="G21" s="127"/>
      <c r="H21" s="127"/>
      <c r="I21" s="949"/>
      <c r="J21" s="786"/>
      <c r="K21" s="787"/>
      <c r="L21" s="944" t="str">
        <f t="shared" si="0"/>
        <v/>
      </c>
      <c r="M21" s="781" t="str">
        <f t="shared" si="1"/>
        <v/>
      </c>
      <c r="N21" s="944" t="str">
        <f t="shared" si="2"/>
        <v/>
      </c>
      <c r="O21" s="554"/>
      <c r="P21" s="504"/>
      <c r="R21" s="410"/>
      <c r="T21" s="363" t="str">
        <f>IF(D21="","",VLOOKUP(D21,'9. All Habitats + Multipliers'!$C$4:$K$102,5,FALSE))</f>
        <v/>
      </c>
      <c r="U21" s="362"/>
      <c r="V21" s="582" t="str">
        <f>IF(T21="","",VLOOKUP(T21,'11. Lists'!$B$47:$D$49,2,FALSE))</f>
        <v/>
      </c>
      <c r="W21" s="579" t="str">
        <f>IF(D21="","",VLOOKUP(D21,'10. Condition and Temporal'!$B$6:$C$103,2,FALSE))</f>
        <v/>
      </c>
      <c r="X21" s="582" t="str">
        <f>IF(W21="","",VLOOKUP(W21,'11. Lists'!$F$47:$G$51,2,FALSE))</f>
        <v/>
      </c>
      <c r="Y21" s="852"/>
      <c r="Z21" s="823"/>
      <c r="AA21" s="850"/>
      <c r="AB21" s="581" t="str">
        <f t="shared" si="3"/>
        <v/>
      </c>
      <c r="AC21" s="581" t="str">
        <f>IF(AB21="","",VLOOKUP(AB21,'11. Lists'!$F$36:$H$38,2,FALSE))</f>
        <v/>
      </c>
      <c r="AD21" s="580" t="str">
        <f>IF(AB21="","",VLOOKUP(AB21,'11. Lists'!$F$36:$H$38,3,FALSE))</f>
        <v/>
      </c>
      <c r="AE21" s="778" t="str">
        <f t="shared" si="4"/>
        <v/>
      </c>
      <c r="AF21" s="779" t="str">
        <f t="shared" si="5"/>
        <v/>
      </c>
      <c r="AG21" s="780" t="str">
        <f t="shared" si="6"/>
        <v/>
      </c>
      <c r="AH21" s="579" t="str">
        <f>IF(T21="","",VLOOKUP(T21,'11. Lists'!$B$47:$D$49,3,FALSE))</f>
        <v/>
      </c>
      <c r="AI21" s="824" t="str">
        <f>IF(D21="","",VLOOKUP(D21,'10. Condition and Temporal'!$B$6:$L$103,4,FALSE))</f>
        <v/>
      </c>
      <c r="AJ21" s="953" t="str">
        <v>1</v>
      </c>
      <c r="AK21" s="643" t="str">
        <v>1</v>
      </c>
      <c r="AL21" s="643"/>
      <c r="AM21" s="643"/>
      <c r="AN21" s="909"/>
      <c r="AR21" s="643" t="str">
        <f t="shared" si="7"/>
        <v/>
      </c>
    </row>
    <row r="22" spans="2:44" s="520" customFormat="1" ht="15.6" customHeight="1" x14ac:dyDescent="0.25">
      <c r="B22" s="744">
        <v>12</v>
      </c>
      <c r="C22" s="1034" t="s">
        <v>264</v>
      </c>
      <c r="D22" s="290"/>
      <c r="E22" s="290"/>
      <c r="F22" s="127"/>
      <c r="G22" s="127"/>
      <c r="H22" s="127"/>
      <c r="I22" s="949"/>
      <c r="J22" s="786"/>
      <c r="K22" s="787"/>
      <c r="L22" s="944" t="str">
        <f t="shared" si="0"/>
        <v/>
      </c>
      <c r="M22" s="781" t="str">
        <f t="shared" si="1"/>
        <v/>
      </c>
      <c r="N22" s="944" t="str">
        <f t="shared" si="2"/>
        <v/>
      </c>
      <c r="O22" s="554"/>
      <c r="P22" s="504"/>
      <c r="R22" s="410"/>
      <c r="T22" s="363" t="str">
        <f>IF(D22="","",VLOOKUP(D22,'9. All Habitats + Multipliers'!$C$4:$K$102,5,FALSE))</f>
        <v/>
      </c>
      <c r="U22" s="362"/>
      <c r="V22" s="582" t="str">
        <f>IF(T22="","",VLOOKUP(T22,'11. Lists'!$B$47:$D$49,2,FALSE))</f>
        <v/>
      </c>
      <c r="W22" s="579" t="str">
        <f>IF(D22="","",VLOOKUP(D22,'10. Condition and Temporal'!$B$6:$C$103,2,FALSE))</f>
        <v/>
      </c>
      <c r="X22" s="582" t="str">
        <f>IF(W22="","",VLOOKUP(W22,'11. Lists'!$F$47:$G$51,2,FALSE))</f>
        <v/>
      </c>
      <c r="Y22" s="852"/>
      <c r="Z22" s="823"/>
      <c r="AA22" s="850"/>
      <c r="AB22" s="581" t="str">
        <f t="shared" si="3"/>
        <v/>
      </c>
      <c r="AC22" s="581" t="str">
        <f>IF(AB22="","",VLOOKUP(AB22,'11. Lists'!$F$36:$H$38,2,FALSE))</f>
        <v/>
      </c>
      <c r="AD22" s="580" t="str">
        <f>IF(AB22="","",VLOOKUP(AB22,'11. Lists'!$F$36:$H$38,3,FALSE))</f>
        <v/>
      </c>
      <c r="AE22" s="778" t="str">
        <f t="shared" si="4"/>
        <v/>
      </c>
      <c r="AF22" s="779" t="str">
        <f t="shared" si="5"/>
        <v/>
      </c>
      <c r="AG22" s="780" t="str">
        <f t="shared" si="6"/>
        <v/>
      </c>
      <c r="AH22" s="579" t="str">
        <f>IF(T22="","",VLOOKUP(T22,'11. Lists'!$B$47:$D$49,3,FALSE))</f>
        <v/>
      </c>
      <c r="AI22" s="824" t="str">
        <f>IF(D22="","",VLOOKUP(D22,'10. Condition and Temporal'!$B$6:$L$103,4,FALSE))</f>
        <v/>
      </c>
      <c r="AJ22" s="953" t="str">
        <v>1</v>
      </c>
      <c r="AK22" s="643" t="str">
        <v>1</v>
      </c>
      <c r="AL22" s="643"/>
      <c r="AM22" s="643"/>
      <c r="AN22" s="909"/>
      <c r="AR22" s="643" t="str">
        <f t="shared" si="7"/>
        <v/>
      </c>
    </row>
    <row r="23" spans="2:44" s="520" customFormat="1" ht="15.6" customHeight="1" x14ac:dyDescent="0.25">
      <c r="B23" s="744">
        <v>13</v>
      </c>
      <c r="C23" s="1034" t="s">
        <v>264</v>
      </c>
      <c r="D23" s="290"/>
      <c r="E23" s="290"/>
      <c r="F23" s="127"/>
      <c r="G23" s="127"/>
      <c r="H23" s="127"/>
      <c r="I23" s="949"/>
      <c r="J23" s="786"/>
      <c r="K23" s="787"/>
      <c r="L23" s="944" t="str">
        <f t="shared" si="0"/>
        <v/>
      </c>
      <c r="M23" s="781" t="str">
        <f t="shared" si="1"/>
        <v/>
      </c>
      <c r="N23" s="944" t="str">
        <f t="shared" si="2"/>
        <v/>
      </c>
      <c r="O23" s="554"/>
      <c r="P23" s="504"/>
      <c r="R23" s="410"/>
      <c r="T23" s="363" t="str">
        <f>IF(D23="","",VLOOKUP(D23,'9. All Habitats + Multipliers'!$C$4:$K$102,5,FALSE))</f>
        <v/>
      </c>
      <c r="U23" s="362"/>
      <c r="V23" s="582" t="str">
        <f>IF(T23="","",VLOOKUP(T23,'11. Lists'!$B$47:$D$49,2,FALSE))</f>
        <v/>
      </c>
      <c r="W23" s="579" t="str">
        <f>IF(D23="","",VLOOKUP(D23,'10. Condition and Temporal'!$B$6:$C$103,2,FALSE))</f>
        <v/>
      </c>
      <c r="X23" s="582" t="str">
        <f>IF(W23="","",VLOOKUP(W23,'11. Lists'!$F$47:$G$51,2,FALSE))</f>
        <v/>
      </c>
      <c r="Y23" s="852"/>
      <c r="Z23" s="823"/>
      <c r="AA23" s="850"/>
      <c r="AB23" s="581" t="str">
        <f t="shared" si="3"/>
        <v/>
      </c>
      <c r="AC23" s="581" t="str">
        <f>IF(AB23="","",VLOOKUP(AB23,'11. Lists'!$F$36:$H$38,2,FALSE))</f>
        <v/>
      </c>
      <c r="AD23" s="580" t="str">
        <f>IF(AB23="","",VLOOKUP(AB23,'11. Lists'!$F$36:$H$38,3,FALSE))</f>
        <v/>
      </c>
      <c r="AE23" s="778" t="str">
        <f t="shared" si="4"/>
        <v/>
      </c>
      <c r="AF23" s="779" t="str">
        <f t="shared" si="5"/>
        <v/>
      </c>
      <c r="AG23" s="780" t="str">
        <f t="shared" si="6"/>
        <v/>
      </c>
      <c r="AH23" s="579" t="str">
        <f>IF(T23="","",VLOOKUP(T23,'11. Lists'!$B$47:$D$49,3,FALSE))</f>
        <v/>
      </c>
      <c r="AI23" s="824" t="str">
        <f>IF(D23="","",VLOOKUP(D23,'10. Condition and Temporal'!$B$6:$L$103,4,FALSE))</f>
        <v/>
      </c>
      <c r="AJ23" s="953" t="str">
        <v>1</v>
      </c>
      <c r="AK23" s="643" t="str">
        <v>1</v>
      </c>
      <c r="AL23" s="643"/>
      <c r="AM23" s="643"/>
      <c r="AN23" s="909"/>
      <c r="AR23" s="643" t="str">
        <f t="shared" si="7"/>
        <v/>
      </c>
    </row>
    <row r="24" spans="2:44" s="520" customFormat="1" ht="15.6" customHeight="1" x14ac:dyDescent="0.25">
      <c r="B24" s="744">
        <v>14</v>
      </c>
      <c r="C24" s="1034" t="s">
        <v>264</v>
      </c>
      <c r="D24" s="290"/>
      <c r="E24" s="290"/>
      <c r="F24" s="127"/>
      <c r="G24" s="127"/>
      <c r="H24" s="127"/>
      <c r="I24" s="949"/>
      <c r="J24" s="786"/>
      <c r="K24" s="787"/>
      <c r="L24" s="944" t="str">
        <f t="shared" si="0"/>
        <v/>
      </c>
      <c r="M24" s="781" t="str">
        <f t="shared" si="1"/>
        <v/>
      </c>
      <c r="N24" s="944" t="str">
        <f t="shared" si="2"/>
        <v/>
      </c>
      <c r="O24" s="554"/>
      <c r="P24" s="504"/>
      <c r="R24" s="410"/>
      <c r="T24" s="363" t="str">
        <f>IF(D24="","",VLOOKUP(D24,'9. All Habitats + Multipliers'!$C$4:$K$102,5,FALSE))</f>
        <v/>
      </c>
      <c r="U24" s="362"/>
      <c r="V24" s="582" t="str">
        <f>IF(T24="","",VLOOKUP(T24,'11. Lists'!$B$47:$D$49,2,FALSE))</f>
        <v/>
      </c>
      <c r="W24" s="579" t="str">
        <f>IF(D24="","",VLOOKUP(D24,'10. Condition and Temporal'!$B$6:$C$103,2,FALSE))</f>
        <v/>
      </c>
      <c r="X24" s="582" t="str">
        <f>IF(W24="","",VLOOKUP(W24,'11. Lists'!$F$47:$G$51,2,FALSE))</f>
        <v/>
      </c>
      <c r="Y24" s="852"/>
      <c r="Z24" s="823"/>
      <c r="AA24" s="850"/>
      <c r="AB24" s="581" t="str">
        <f t="shared" si="3"/>
        <v/>
      </c>
      <c r="AC24" s="581" t="str">
        <f>IF(AB24="","",VLOOKUP(AB24,'11. Lists'!$F$36:$H$38,2,FALSE))</f>
        <v/>
      </c>
      <c r="AD24" s="580" t="str">
        <f>IF(AB24="","",VLOOKUP(AB24,'11. Lists'!$F$36:$H$38,3,FALSE))</f>
        <v/>
      </c>
      <c r="AE24" s="778" t="str">
        <f t="shared" si="4"/>
        <v/>
      </c>
      <c r="AF24" s="779" t="str">
        <f t="shared" si="5"/>
        <v/>
      </c>
      <c r="AG24" s="780" t="str">
        <f t="shared" si="6"/>
        <v/>
      </c>
      <c r="AH24" s="579" t="str">
        <f>IF(T24="","",VLOOKUP(T24,'11. Lists'!$B$47:$D$49,3,FALSE))</f>
        <v/>
      </c>
      <c r="AI24" s="824" t="str">
        <f>IF(D24="","",VLOOKUP(D24,'10. Condition and Temporal'!$B$6:$L$103,4,FALSE))</f>
        <v/>
      </c>
      <c r="AJ24" s="953" t="str">
        <v>1</v>
      </c>
      <c r="AK24" s="643" t="str">
        <v>1</v>
      </c>
      <c r="AL24" s="643"/>
      <c r="AM24" s="643"/>
      <c r="AN24" s="909"/>
      <c r="AR24" s="643" t="str">
        <f t="shared" si="7"/>
        <v/>
      </c>
    </row>
    <row r="25" spans="2:44" s="520" customFormat="1" ht="15.6" customHeight="1" x14ac:dyDescent="0.25">
      <c r="B25" s="744">
        <v>15</v>
      </c>
      <c r="C25" s="1034" t="s">
        <v>264</v>
      </c>
      <c r="D25" s="290"/>
      <c r="E25" s="290"/>
      <c r="F25" s="127"/>
      <c r="G25" s="127"/>
      <c r="H25" s="127"/>
      <c r="I25" s="949"/>
      <c r="J25" s="786"/>
      <c r="K25" s="787"/>
      <c r="L25" s="944" t="str">
        <f t="shared" si="0"/>
        <v/>
      </c>
      <c r="M25" s="781" t="str">
        <f t="shared" si="1"/>
        <v/>
      </c>
      <c r="N25" s="944" t="str">
        <f t="shared" si="2"/>
        <v/>
      </c>
      <c r="O25" s="554"/>
      <c r="P25" s="504"/>
      <c r="R25" s="410"/>
      <c r="T25" s="363" t="str">
        <f>IF(D25="","",VLOOKUP(D25,'9. All Habitats + Multipliers'!$C$4:$K$102,5,FALSE))</f>
        <v/>
      </c>
      <c r="U25" s="362"/>
      <c r="V25" s="582" t="str">
        <f>IF(T25="","",VLOOKUP(T25,'11. Lists'!$B$47:$D$49,2,FALSE))</f>
        <v/>
      </c>
      <c r="W25" s="579" t="str">
        <f>IF(D25="","",VLOOKUP(D25,'10. Condition and Temporal'!$B$6:$C$103,2,FALSE))</f>
        <v/>
      </c>
      <c r="X25" s="582" t="str">
        <f>IF(W25="","",VLOOKUP(W25,'11. Lists'!$F$47:$G$51,2,FALSE))</f>
        <v/>
      </c>
      <c r="Y25" s="852"/>
      <c r="Z25" s="823"/>
      <c r="AA25" s="850"/>
      <c r="AB25" s="581" t="str">
        <f t="shared" si="3"/>
        <v/>
      </c>
      <c r="AC25" s="581" t="str">
        <f>IF(AB25="","",VLOOKUP(AB25,'11. Lists'!$F$36:$H$38,2,FALSE))</f>
        <v/>
      </c>
      <c r="AD25" s="580" t="str">
        <f>IF(AB25="","",VLOOKUP(AB25,'11. Lists'!$F$36:$H$38,3,FALSE))</f>
        <v/>
      </c>
      <c r="AE25" s="778" t="str">
        <f t="shared" si="4"/>
        <v/>
      </c>
      <c r="AF25" s="779" t="str">
        <f t="shared" si="5"/>
        <v/>
      </c>
      <c r="AG25" s="780" t="str">
        <f t="shared" si="6"/>
        <v/>
      </c>
      <c r="AH25" s="579" t="str">
        <f>IF(T25="","",VLOOKUP(T25,'11. Lists'!$B$47:$D$49,3,FALSE))</f>
        <v/>
      </c>
      <c r="AI25" s="824" t="str">
        <f>IF(D25="","",VLOOKUP(D25,'10. Condition and Temporal'!$B$6:$L$103,4,FALSE))</f>
        <v/>
      </c>
      <c r="AJ25" s="953" t="str">
        <v>1</v>
      </c>
      <c r="AK25" s="643" t="str">
        <v>1</v>
      </c>
      <c r="AL25" s="643"/>
      <c r="AM25" s="643"/>
      <c r="AN25" s="909"/>
      <c r="AR25" s="643" t="str">
        <f t="shared" si="7"/>
        <v/>
      </c>
    </row>
    <row r="26" spans="2:44" s="520" customFormat="1" ht="15.6" customHeight="1" x14ac:dyDescent="0.25">
      <c r="B26" s="744">
        <v>16</v>
      </c>
      <c r="C26" s="1034" t="s">
        <v>264</v>
      </c>
      <c r="D26" s="290"/>
      <c r="E26" s="290"/>
      <c r="F26" s="127"/>
      <c r="G26" s="127"/>
      <c r="H26" s="127"/>
      <c r="I26" s="949"/>
      <c r="J26" s="786"/>
      <c r="K26" s="787"/>
      <c r="L26" s="944" t="str">
        <f t="shared" si="0"/>
        <v/>
      </c>
      <c r="M26" s="781" t="str">
        <f t="shared" si="1"/>
        <v/>
      </c>
      <c r="N26" s="944" t="str">
        <f t="shared" si="2"/>
        <v/>
      </c>
      <c r="O26" s="554"/>
      <c r="P26" s="504"/>
      <c r="R26" s="410"/>
      <c r="T26" s="363" t="str">
        <f>IF(D26="","",VLOOKUP(D26,'9. All Habitats + Multipliers'!$C$4:$K$102,5,FALSE))</f>
        <v/>
      </c>
      <c r="U26" s="362"/>
      <c r="V26" s="582" t="str">
        <f>IF(T26="","",VLOOKUP(T26,'11. Lists'!$B$47:$D$49,2,FALSE))</f>
        <v/>
      </c>
      <c r="W26" s="579" t="str">
        <f>IF(D26="","",VLOOKUP(D26,'10. Condition and Temporal'!$B$6:$C$103,2,FALSE))</f>
        <v/>
      </c>
      <c r="X26" s="582" t="str">
        <f>IF(W26="","",VLOOKUP(W26,'11. Lists'!$F$47:$G$51,2,FALSE))</f>
        <v/>
      </c>
      <c r="Y26" s="852"/>
      <c r="Z26" s="823"/>
      <c r="AA26" s="850"/>
      <c r="AB26" s="581" t="str">
        <f t="shared" si="3"/>
        <v/>
      </c>
      <c r="AC26" s="581" t="str">
        <f>IF(AB26="","",VLOOKUP(AB26,'11. Lists'!$F$36:$H$38,2,FALSE))</f>
        <v/>
      </c>
      <c r="AD26" s="580" t="str">
        <f>IF(AB26="","",VLOOKUP(AB26,'11. Lists'!$F$36:$H$38,3,FALSE))</f>
        <v/>
      </c>
      <c r="AE26" s="778" t="str">
        <f t="shared" si="4"/>
        <v/>
      </c>
      <c r="AF26" s="779" t="str">
        <f t="shared" si="5"/>
        <v/>
      </c>
      <c r="AG26" s="780" t="str">
        <f t="shared" si="6"/>
        <v/>
      </c>
      <c r="AH26" s="579" t="str">
        <f>IF(T26="","",VLOOKUP(T26,'11. Lists'!$B$47:$D$49,3,FALSE))</f>
        <v/>
      </c>
      <c r="AI26" s="824" t="str">
        <f>IF(D26="","",VLOOKUP(D26,'10. Condition and Temporal'!$B$6:$L$103,4,FALSE))</f>
        <v/>
      </c>
      <c r="AJ26" s="953" t="str">
        <v>1</v>
      </c>
      <c r="AK26" s="643" t="str">
        <v>1</v>
      </c>
      <c r="AL26" s="643"/>
      <c r="AM26" s="643"/>
      <c r="AN26" s="909"/>
      <c r="AR26" s="643" t="str">
        <f t="shared" si="7"/>
        <v/>
      </c>
    </row>
    <row r="27" spans="2:44" s="520" customFormat="1" ht="15.6" customHeight="1" x14ac:dyDescent="0.25">
      <c r="B27" s="744">
        <v>17</v>
      </c>
      <c r="C27" s="1034" t="s">
        <v>264</v>
      </c>
      <c r="D27" s="290"/>
      <c r="E27" s="290"/>
      <c r="F27" s="127"/>
      <c r="G27" s="127"/>
      <c r="H27" s="127"/>
      <c r="I27" s="949"/>
      <c r="J27" s="786"/>
      <c r="K27" s="787"/>
      <c r="L27" s="944" t="str">
        <f t="shared" si="0"/>
        <v/>
      </c>
      <c r="M27" s="781" t="str">
        <f t="shared" si="1"/>
        <v/>
      </c>
      <c r="N27" s="944" t="str">
        <f t="shared" si="2"/>
        <v/>
      </c>
      <c r="O27" s="554"/>
      <c r="P27" s="504"/>
      <c r="R27" s="410"/>
      <c r="T27" s="363" t="str">
        <f>IF(D27="","",VLOOKUP(D27,'9. All Habitats + Multipliers'!$C$4:$K$102,5,FALSE))</f>
        <v/>
      </c>
      <c r="U27" s="362"/>
      <c r="V27" s="582" t="str">
        <f>IF(T27="","",VLOOKUP(T27,'11. Lists'!$B$47:$D$49,2,FALSE))</f>
        <v/>
      </c>
      <c r="W27" s="579" t="str">
        <f>IF(D27="","",VLOOKUP(D27,'10. Condition and Temporal'!$B$6:$C$103,2,FALSE))</f>
        <v/>
      </c>
      <c r="X27" s="582" t="str">
        <f>IF(W27="","",VLOOKUP(W27,'11. Lists'!$F$47:$G$51,2,FALSE))</f>
        <v/>
      </c>
      <c r="Y27" s="852"/>
      <c r="Z27" s="823"/>
      <c r="AA27" s="850"/>
      <c r="AB27" s="581" t="str">
        <f t="shared" si="3"/>
        <v/>
      </c>
      <c r="AC27" s="581" t="str">
        <f>IF(AB27="","",VLOOKUP(AB27,'11. Lists'!$F$36:$H$38,2,FALSE))</f>
        <v/>
      </c>
      <c r="AD27" s="580" t="str">
        <f>IF(AB27="","",VLOOKUP(AB27,'11. Lists'!$F$36:$H$38,3,FALSE))</f>
        <v/>
      </c>
      <c r="AE27" s="778" t="str">
        <f t="shared" si="4"/>
        <v/>
      </c>
      <c r="AF27" s="779" t="str">
        <f t="shared" si="5"/>
        <v/>
      </c>
      <c r="AG27" s="780" t="str">
        <f t="shared" si="6"/>
        <v/>
      </c>
      <c r="AH27" s="579" t="str">
        <f>IF(T27="","",VLOOKUP(T27,'11. Lists'!$B$47:$D$49,3,FALSE))</f>
        <v/>
      </c>
      <c r="AI27" s="824" t="str">
        <f>IF(D27="","",VLOOKUP(D27,'10. Condition and Temporal'!$B$6:$L$103,4,FALSE))</f>
        <v/>
      </c>
      <c r="AJ27" s="953" t="str">
        <v>1</v>
      </c>
      <c r="AK27" s="643" t="str">
        <v>1</v>
      </c>
      <c r="AL27" s="643"/>
      <c r="AM27" s="643"/>
      <c r="AN27" s="909"/>
      <c r="AR27" s="643" t="str">
        <f t="shared" si="7"/>
        <v/>
      </c>
    </row>
    <row r="28" spans="2:44" s="520" customFormat="1" ht="15.6" customHeight="1" x14ac:dyDescent="0.25">
      <c r="B28" s="744">
        <v>18</v>
      </c>
      <c r="C28" s="1034" t="s">
        <v>264</v>
      </c>
      <c r="D28" s="290"/>
      <c r="E28" s="290"/>
      <c r="F28" s="127"/>
      <c r="G28" s="127"/>
      <c r="H28" s="127"/>
      <c r="I28" s="949"/>
      <c r="J28" s="786"/>
      <c r="K28" s="787"/>
      <c r="L28" s="944" t="str">
        <f t="shared" si="0"/>
        <v/>
      </c>
      <c r="M28" s="781" t="str">
        <f t="shared" si="1"/>
        <v/>
      </c>
      <c r="N28" s="944" t="str">
        <f t="shared" si="2"/>
        <v/>
      </c>
      <c r="O28" s="554"/>
      <c r="P28" s="504"/>
      <c r="R28" s="410"/>
      <c r="T28" s="363" t="str">
        <f>IF(D28="","",VLOOKUP(D28,'9. All Habitats + Multipliers'!$C$4:$K$102,5,FALSE))</f>
        <v/>
      </c>
      <c r="U28" s="362"/>
      <c r="V28" s="582" t="str">
        <f>IF(T28="","",VLOOKUP(T28,'11. Lists'!$B$47:$D$49,2,FALSE))</f>
        <v/>
      </c>
      <c r="W28" s="579" t="str">
        <f>IF(D28="","",VLOOKUP(D28,'10. Condition and Temporal'!$B$6:$C$103,2,FALSE))</f>
        <v/>
      </c>
      <c r="X28" s="582" t="str">
        <f>IF(W28="","",VLOOKUP(W28,'11. Lists'!$F$47:$G$51,2,FALSE))</f>
        <v/>
      </c>
      <c r="Y28" s="852"/>
      <c r="Z28" s="823"/>
      <c r="AA28" s="850"/>
      <c r="AB28" s="581" t="str">
        <f t="shared" si="3"/>
        <v/>
      </c>
      <c r="AC28" s="581" t="str">
        <f>IF(AB28="","",VLOOKUP(AB28,'11. Lists'!$F$36:$H$38,2,FALSE))</f>
        <v/>
      </c>
      <c r="AD28" s="580" t="str">
        <f>IF(AB28="","",VLOOKUP(AB28,'11. Lists'!$F$36:$H$38,3,FALSE))</f>
        <v/>
      </c>
      <c r="AE28" s="778" t="str">
        <f t="shared" si="4"/>
        <v/>
      </c>
      <c r="AF28" s="779" t="str">
        <f t="shared" si="5"/>
        <v/>
      </c>
      <c r="AG28" s="780" t="str">
        <f t="shared" si="6"/>
        <v/>
      </c>
      <c r="AH28" s="579" t="str">
        <f>IF(T28="","",VLOOKUP(T28,'11. Lists'!$B$47:$D$49,3,FALSE))</f>
        <v/>
      </c>
      <c r="AI28" s="824" t="str">
        <f>IF(D28="","",VLOOKUP(D28,'10. Condition and Temporal'!$B$6:$L$103,4,FALSE))</f>
        <v/>
      </c>
      <c r="AJ28" s="953" t="str">
        <v>1</v>
      </c>
      <c r="AK28" s="643" t="str">
        <v>1</v>
      </c>
      <c r="AL28" s="643"/>
      <c r="AM28" s="643"/>
      <c r="AN28" s="909"/>
      <c r="AR28" s="643" t="str">
        <f t="shared" si="7"/>
        <v/>
      </c>
    </row>
    <row r="29" spans="2:44" s="520" customFormat="1" ht="15.6" customHeight="1" x14ac:dyDescent="0.25">
      <c r="B29" s="744">
        <v>19</v>
      </c>
      <c r="C29" s="1034" t="s">
        <v>264</v>
      </c>
      <c r="D29" s="290"/>
      <c r="E29" s="290"/>
      <c r="F29" s="127"/>
      <c r="G29" s="127"/>
      <c r="H29" s="127"/>
      <c r="I29" s="949"/>
      <c r="J29" s="786"/>
      <c r="K29" s="787"/>
      <c r="L29" s="944" t="str">
        <f t="shared" si="0"/>
        <v/>
      </c>
      <c r="M29" s="781" t="str">
        <f t="shared" si="1"/>
        <v/>
      </c>
      <c r="N29" s="944" t="str">
        <f t="shared" si="2"/>
        <v/>
      </c>
      <c r="O29" s="554"/>
      <c r="P29" s="504"/>
      <c r="R29" s="410"/>
      <c r="T29" s="363" t="str">
        <f>IF(D29="","",VLOOKUP(D29,'9. All Habitats + Multipliers'!$C$4:$K$102,5,FALSE))</f>
        <v/>
      </c>
      <c r="U29" s="362"/>
      <c r="V29" s="582" t="str">
        <f>IF(T29="","",VLOOKUP(T29,'11. Lists'!$B$47:$D$49,2,FALSE))</f>
        <v/>
      </c>
      <c r="W29" s="579" t="str">
        <f>IF(D29="","",VLOOKUP(D29,'10. Condition and Temporal'!$B$6:$C$103,2,FALSE))</f>
        <v/>
      </c>
      <c r="X29" s="582" t="str">
        <f>IF(W29="","",VLOOKUP(W29,'11. Lists'!$F$47:$G$51,2,FALSE))</f>
        <v/>
      </c>
      <c r="Y29" s="852"/>
      <c r="Z29" s="823"/>
      <c r="AA29" s="850"/>
      <c r="AB29" s="581" t="str">
        <f t="shared" si="3"/>
        <v/>
      </c>
      <c r="AC29" s="581" t="str">
        <f>IF(AB29="","",VLOOKUP(AB29,'11. Lists'!$F$36:$H$38,2,FALSE))</f>
        <v/>
      </c>
      <c r="AD29" s="580" t="str">
        <f>IF(AB29="","",VLOOKUP(AB29,'11. Lists'!$F$36:$H$38,3,FALSE))</f>
        <v/>
      </c>
      <c r="AE29" s="778" t="str">
        <f t="shared" si="4"/>
        <v/>
      </c>
      <c r="AF29" s="779" t="str">
        <f t="shared" si="5"/>
        <v/>
      </c>
      <c r="AG29" s="780" t="str">
        <f t="shared" si="6"/>
        <v/>
      </c>
      <c r="AH29" s="579" t="str">
        <f>IF(T29="","",VLOOKUP(T29,'11. Lists'!$B$47:$D$49,3,FALSE))</f>
        <v/>
      </c>
      <c r="AI29" s="824" t="str">
        <f>IF(D29="","",VLOOKUP(D29,'10. Condition and Temporal'!$B$6:$L$103,4,FALSE))</f>
        <v/>
      </c>
      <c r="AJ29" s="953" t="str">
        <v>1</v>
      </c>
      <c r="AK29" s="643" t="str">
        <v>1</v>
      </c>
      <c r="AL29" s="643"/>
      <c r="AM29" s="643"/>
      <c r="AN29" s="909"/>
      <c r="AR29" s="643" t="str">
        <f t="shared" si="7"/>
        <v/>
      </c>
    </row>
    <row r="30" spans="2:44" s="520" customFormat="1" ht="16.5" customHeight="1" x14ac:dyDescent="0.25">
      <c r="B30" s="745">
        <v>20</v>
      </c>
      <c r="C30" s="1035" t="s">
        <v>264</v>
      </c>
      <c r="D30" s="288"/>
      <c r="E30" s="288"/>
      <c r="F30" s="126"/>
      <c r="G30" s="126"/>
      <c r="H30" s="126"/>
      <c r="I30" s="950"/>
      <c r="J30" s="789"/>
      <c r="K30" s="790"/>
      <c r="L30" s="952" t="str">
        <f t="shared" si="0"/>
        <v/>
      </c>
      <c r="M30" s="795" t="str">
        <f t="shared" si="1"/>
        <v/>
      </c>
      <c r="N30" s="952" t="str">
        <f t="shared" si="2"/>
        <v/>
      </c>
      <c r="O30" s="556"/>
      <c r="P30" s="500"/>
      <c r="R30" s="410"/>
      <c r="T30" s="352" t="str">
        <f>IF(D30="","",VLOOKUP(D30,'9. All Habitats + Multipliers'!$C$4:$K$102,5,FALSE))</f>
        <v/>
      </c>
      <c r="U30" s="351"/>
      <c r="V30" s="582" t="str">
        <f>IF(T30="","",VLOOKUP(T30,'11. Lists'!$B$47:$D$49,2,FALSE))</f>
        <v/>
      </c>
      <c r="W30" s="584" t="str">
        <f>IF(D30="","",VLOOKUP(D30,'10. Condition and Temporal'!$B$6:$C$103,2,FALSE))</f>
        <v/>
      </c>
      <c r="X30" s="588" t="str">
        <f>IF(W30="","",VLOOKUP(W30,'11. Lists'!$F$47:$G$51,2,FALSE))</f>
        <v/>
      </c>
      <c r="Y30" s="852"/>
      <c r="Z30" s="823"/>
      <c r="AA30" s="850"/>
      <c r="AB30" s="581" t="str">
        <f t="shared" si="3"/>
        <v/>
      </c>
      <c r="AC30" s="581" t="str">
        <f>IF(AB30="","",VLOOKUP(AB30,'11. Lists'!$F$36:$H$38,2,FALSE))</f>
        <v/>
      </c>
      <c r="AD30" s="580" t="str">
        <f>IF(AB30="","",VLOOKUP(AB30,'11. Lists'!$F$36:$H$38,3,FALSE))</f>
        <v/>
      </c>
      <c r="AE30" s="778" t="str">
        <f t="shared" si="4"/>
        <v/>
      </c>
      <c r="AF30" s="779" t="str">
        <f t="shared" si="5"/>
        <v/>
      </c>
      <c r="AG30" s="780" t="str">
        <f t="shared" si="6"/>
        <v/>
      </c>
      <c r="AH30" s="579" t="str">
        <f>IF(T30="","",VLOOKUP(T30,'11. Lists'!$B$47:$D$49,3,FALSE))</f>
        <v/>
      </c>
      <c r="AI30" s="824" t="str">
        <f>IF(D30="","",VLOOKUP(D30,'10. Condition and Temporal'!$B$6:$L$103,4,FALSE))</f>
        <v/>
      </c>
      <c r="AJ30" s="953" t="str">
        <v>1</v>
      </c>
      <c r="AK30" s="643" t="str">
        <v>1</v>
      </c>
      <c r="AL30" s="643"/>
      <c r="AM30" s="643"/>
      <c r="AN30" s="909"/>
      <c r="AR30" s="643" t="str">
        <f t="shared" si="7"/>
        <v/>
      </c>
    </row>
    <row r="31" spans="2:44" s="520" customFormat="1" x14ac:dyDescent="0.25">
      <c r="D31" s="575"/>
      <c r="E31" s="589"/>
      <c r="F31" s="589"/>
      <c r="G31" s="589"/>
      <c r="H31" s="951" t="s">
        <v>239</v>
      </c>
      <c r="I31" s="806">
        <f t="shared" ref="I31:N31" si="8">SUM(I11:I30)</f>
        <v>0</v>
      </c>
      <c r="J31" s="807">
        <f t="shared" si="8"/>
        <v>0</v>
      </c>
      <c r="K31" s="808">
        <f t="shared" si="8"/>
        <v>0</v>
      </c>
      <c r="L31" s="763">
        <f t="shared" si="8"/>
        <v>0</v>
      </c>
      <c r="M31" s="796">
        <f t="shared" si="8"/>
        <v>0</v>
      </c>
      <c r="N31" s="771">
        <f t="shared" si="8"/>
        <v>0</v>
      </c>
      <c r="R31" s="410"/>
      <c r="AJ31" s="643"/>
      <c r="AK31" s="643"/>
      <c r="AL31" s="643"/>
      <c r="AM31" s="643"/>
      <c r="AN31" s="643"/>
      <c r="AR31" s="643"/>
    </row>
    <row r="32" spans="2:44" s="520" customFormat="1" x14ac:dyDescent="0.25">
      <c r="D32" s="575"/>
      <c r="E32" s="589"/>
      <c r="F32" s="589"/>
      <c r="G32" s="589"/>
      <c r="H32" s="769" t="s">
        <v>109</v>
      </c>
      <c r="I32" s="194" t="str">
        <f>IF(I31&lt;J31+K31,"Error - Lengths Retained and Enhanced Exceed Total Length ▲","Lengths Acceptable ✓")</f>
        <v>Lengths Acceptable ✓</v>
      </c>
      <c r="J32" s="194"/>
      <c r="K32" s="194"/>
      <c r="L32" s="194"/>
      <c r="M32" s="194"/>
      <c r="N32" s="193"/>
      <c r="O32" s="643">
        <f>IFERROR(FIND("Error",#REF!),0)</f>
        <v>0</v>
      </c>
      <c r="R32" s="590"/>
      <c r="AJ32" s="643"/>
      <c r="AK32" s="643"/>
      <c r="AL32" s="643"/>
      <c r="AM32" s="643"/>
      <c r="AN32" s="643"/>
      <c r="AR32" s="643"/>
    </row>
    <row r="33" spans="2:44" s="520" customFormat="1" ht="15" customHeight="1" x14ac:dyDescent="0.25">
      <c r="D33" s="575"/>
      <c r="E33" s="589"/>
      <c r="F33" s="589"/>
      <c r="G33" s="589"/>
      <c r="H33" s="752" t="s">
        <v>109</v>
      </c>
      <c r="I33" s="125" t="str">
        <f>IF(I31&lt;5000,"Lengths Acceptable ✓",IF(I31&gt;=5000,"Length Exceeds Length Appropriate for Small Sites Metric ▲"))</f>
        <v>Lengths Acceptable ✓</v>
      </c>
      <c r="J33" s="192"/>
      <c r="K33" s="192"/>
      <c r="L33" s="192"/>
      <c r="M33" s="192"/>
      <c r="N33" s="191"/>
      <c r="O33" s="643">
        <f>COUNTIF(L11:N30,"*"&amp;"error"&amp;"*")</f>
        <v>0</v>
      </c>
      <c r="R33" s="590"/>
      <c r="AJ33" s="643"/>
      <c r="AK33" s="643"/>
      <c r="AL33" s="643"/>
      <c r="AM33" s="643"/>
      <c r="AN33" s="643"/>
      <c r="AR33" s="643"/>
    </row>
    <row r="34" spans="2:44" s="520" customFormat="1" x14ac:dyDescent="0.25">
      <c r="D34" s="575"/>
      <c r="E34" s="589"/>
      <c r="F34" s="589"/>
      <c r="G34" s="589"/>
      <c r="H34" s="589"/>
      <c r="I34" s="589"/>
      <c r="J34" s="589"/>
      <c r="K34" s="589"/>
      <c r="L34" s="589"/>
      <c r="M34" s="589"/>
      <c r="N34" s="589"/>
      <c r="O34" s="521"/>
      <c r="R34" s="410" t="s">
        <v>67</v>
      </c>
      <c r="AJ34" s="643"/>
      <c r="AK34" s="643"/>
      <c r="AL34" s="643"/>
      <c r="AM34" s="643"/>
      <c r="AN34" s="643"/>
      <c r="AR34" s="643"/>
    </row>
    <row r="35" spans="2:44" s="520" customFormat="1" ht="21" customHeight="1" x14ac:dyDescent="0.35">
      <c r="B35" s="543" t="s">
        <v>112</v>
      </c>
      <c r="D35" s="574"/>
      <c r="E35" s="589"/>
      <c r="F35" s="589"/>
      <c r="G35" s="589"/>
      <c r="I35" s="521"/>
      <c r="R35" s="410"/>
      <c r="AJ35" s="643"/>
      <c r="AK35" s="643"/>
      <c r="AL35" s="643"/>
      <c r="AM35" s="643"/>
      <c r="AN35" s="643"/>
      <c r="AR35" s="643"/>
    </row>
    <row r="36" spans="2:44" s="520" customFormat="1" ht="15.75" customHeight="1" x14ac:dyDescent="0.25">
      <c r="R36" s="410"/>
      <c r="AJ36" s="643"/>
      <c r="AK36" s="643"/>
      <c r="AL36" s="643"/>
      <c r="AM36" s="643"/>
      <c r="AN36" s="643"/>
      <c r="AR36" s="643"/>
    </row>
    <row r="37" spans="2:44" s="520" customFormat="1" ht="16.149999999999999" customHeight="1" x14ac:dyDescent="0.25">
      <c r="B37" s="395" t="s">
        <v>60</v>
      </c>
      <c r="C37" s="392"/>
      <c r="D37" s="344"/>
      <c r="E37" s="393" t="s">
        <v>113</v>
      </c>
      <c r="F37" s="343"/>
      <c r="G37" s="391"/>
      <c r="H37" s="343" t="s">
        <v>114</v>
      </c>
      <c r="I37" s="390" t="s">
        <v>240</v>
      </c>
      <c r="J37" s="389"/>
      <c r="K37" s="389"/>
      <c r="L37" s="393" t="s">
        <v>265</v>
      </c>
      <c r="M37" s="392"/>
      <c r="N37" s="391"/>
      <c r="O37" s="341" t="s">
        <v>80</v>
      </c>
      <c r="P37" s="391"/>
      <c r="R37" s="410"/>
      <c r="T37" s="124" t="s">
        <v>81</v>
      </c>
      <c r="U37" s="123"/>
      <c r="V37" s="122"/>
      <c r="W37" s="132" t="s">
        <v>82</v>
      </c>
      <c r="X37" s="131"/>
      <c r="Y37" s="377"/>
      <c r="Z37" s="377"/>
      <c r="AA37" s="377"/>
      <c r="AB37" s="132" t="s">
        <v>83</v>
      </c>
      <c r="AC37" s="130"/>
      <c r="AD37" s="131"/>
      <c r="AE37" s="121" t="s">
        <v>117</v>
      </c>
      <c r="AF37" s="120"/>
      <c r="AG37" s="121" t="s">
        <v>118</v>
      </c>
      <c r="AH37" s="120"/>
      <c r="AI37" s="119" t="s">
        <v>266</v>
      </c>
      <c r="AJ37" s="643"/>
      <c r="AK37" s="643"/>
      <c r="AL37" s="643"/>
      <c r="AM37" s="643"/>
      <c r="AN37" s="643"/>
      <c r="AR37" s="643"/>
    </row>
    <row r="38" spans="2:44" s="520" customFormat="1" ht="31.9" customHeight="1" x14ac:dyDescent="0.25">
      <c r="B38" s="394"/>
      <c r="C38" s="682" t="s">
        <v>87</v>
      </c>
      <c r="D38" s="683" t="s">
        <v>119</v>
      </c>
      <c r="E38" s="572" t="s">
        <v>120</v>
      </c>
      <c r="F38" s="338" t="s">
        <v>121</v>
      </c>
      <c r="G38" s="337"/>
      <c r="H38" s="342"/>
      <c r="I38" s="387"/>
      <c r="J38" s="386"/>
      <c r="K38" s="386"/>
      <c r="L38" s="190"/>
      <c r="M38" s="189"/>
      <c r="N38" s="188"/>
      <c r="O38" s="681" t="s">
        <v>95</v>
      </c>
      <c r="P38" s="576" t="s">
        <v>96</v>
      </c>
      <c r="R38" s="410"/>
      <c r="T38" s="121" t="s">
        <v>97</v>
      </c>
      <c r="U38" s="117"/>
      <c r="V38" s="1004" t="s">
        <v>98</v>
      </c>
      <c r="W38" s="597" t="s">
        <v>99</v>
      </c>
      <c r="X38" s="598" t="s">
        <v>98</v>
      </c>
      <c r="Y38" s="851"/>
      <c r="Z38" s="845"/>
      <c r="AA38" s="1005"/>
      <c r="AB38" s="597" t="s">
        <v>83</v>
      </c>
      <c r="AC38" s="978" t="s">
        <v>83</v>
      </c>
      <c r="AD38" s="598" t="s">
        <v>100</v>
      </c>
      <c r="AE38" s="597" t="s">
        <v>122</v>
      </c>
      <c r="AF38" s="598" t="s">
        <v>123</v>
      </c>
      <c r="AG38" s="597" t="s">
        <v>124</v>
      </c>
      <c r="AH38" s="598" t="s">
        <v>125</v>
      </c>
      <c r="AI38" s="118"/>
      <c r="AJ38" s="643"/>
      <c r="AK38" s="643"/>
      <c r="AL38" s="643"/>
      <c r="AM38" s="643"/>
      <c r="AN38" s="643"/>
      <c r="AR38" s="643"/>
    </row>
    <row r="39" spans="2:44" s="520" customFormat="1" ht="15.6" customHeight="1" x14ac:dyDescent="0.25">
      <c r="B39" s="750">
        <v>1</v>
      </c>
      <c r="C39" s="1033" t="s">
        <v>264</v>
      </c>
      <c r="D39" s="625"/>
      <c r="E39" s="626" t="str">
        <f>IF(D39="","",VLOOKUP(D39,'10. Condition and Temporal'!$B$6:$D$103,3,FALSE))</f>
        <v/>
      </c>
      <c r="F39" s="336"/>
      <c r="G39" s="335"/>
      <c r="H39" s="627"/>
      <c r="I39" s="116"/>
      <c r="J39" s="115"/>
      <c r="K39" s="115"/>
      <c r="L39" s="114" t="str">
        <f t="shared" ref="L39:L58" si="9">IF(D39="","",IFERROR(IF(I39="","",((I39/1000)*(V39*X39))*(AH39*AF39)*AD39*AI39),"This intervention is not permitted within the SSM ▲"))</f>
        <v/>
      </c>
      <c r="M39" s="113"/>
      <c r="N39" s="112"/>
      <c r="O39" s="697"/>
      <c r="P39" s="628"/>
      <c r="Q39" s="592"/>
      <c r="R39" s="410"/>
      <c r="T39" s="111" t="str">
        <f>IF(D39="","",VLOOKUP(D39,'9. All Habitats + Multipliers'!$C$4:$K$102,5,FALSE))</f>
        <v/>
      </c>
      <c r="U39" s="110"/>
      <c r="V39" s="843" t="str">
        <f>IF(T39="","",VLOOKUP(T39,'11. Lists'!$B$47:$D$49,2,FALSE))</f>
        <v/>
      </c>
      <c r="W39" s="841" t="str">
        <f t="shared" ref="W39:W58" si="10">IF(F39="","",F39)</f>
        <v/>
      </c>
      <c r="X39" s="843" t="str">
        <f>IF(W39="","",VLOOKUP(W39,'11. Lists'!$F$47:$G$51,2,FALSE))</f>
        <v/>
      </c>
      <c r="Y39" s="852"/>
      <c r="Z39" s="823"/>
      <c r="AA39" s="985"/>
      <c r="AB39" s="600" t="str">
        <f t="shared" ref="AB39:AB58" si="11">IF(H39="","",H39)</f>
        <v/>
      </c>
      <c r="AC39" s="602" t="str">
        <f>IF(AB39="","",VLOOKUP(AB39,'11. Lists'!$F$36:$H$38,2,FALSE))</f>
        <v/>
      </c>
      <c r="AD39" s="601" t="str">
        <f>IF(AB39="","",VLOOKUP(AB39,'11. Lists'!$F$36:$H$38,3,FALSE))</f>
        <v/>
      </c>
      <c r="AE39" s="84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98" t="str">
        <f>IF(AE39="","",VLOOKUP(AE39,'11. Lists'!$I$47:$K$80,3,FALSE))</f>
        <v/>
      </c>
      <c r="AG39" s="841" t="str">
        <f>IF(D39="","",VLOOKUP(D39,'9. All Habitats + Multipliers'!$C$4:$K$102,7,FALSE))</f>
        <v/>
      </c>
      <c r="AH39" s="843" t="str">
        <f>IF(AG39="","",VLOOKUP(AG39,'11. Lists'!$J$35:$K$38,2,FALSE))</f>
        <v/>
      </c>
      <c r="AI39" s="1006" t="str" cm="1">
        <f t="array" ref="AI39:AI58">IF($D$39:$D$58="Culvert","0.68","1")</f>
        <v>1</v>
      </c>
      <c r="AJ39" s="643"/>
      <c r="AK39" s="643"/>
      <c r="AL39" s="643"/>
      <c r="AM39" s="643"/>
      <c r="AN39" s="643"/>
      <c r="AR39" s="643"/>
    </row>
    <row r="40" spans="2:44" s="520" customFormat="1" ht="15.6" customHeight="1" x14ac:dyDescent="0.25">
      <c r="B40" s="744">
        <v>2</v>
      </c>
      <c r="C40" s="1034" t="s">
        <v>264</v>
      </c>
      <c r="D40" s="559"/>
      <c r="E40" s="591" t="str">
        <f>IF(D40="","",VLOOKUP(D40,'10. Condition and Temporal'!$B$6:$D$103,3,FALSE))</f>
        <v/>
      </c>
      <c r="F40" s="328"/>
      <c r="G40" s="327"/>
      <c r="H40" s="557"/>
      <c r="I40" s="334"/>
      <c r="J40" s="333"/>
      <c r="K40" s="333"/>
      <c r="L40" s="114" t="str">
        <f t="shared" si="9"/>
        <v/>
      </c>
      <c r="M40" s="113"/>
      <c r="N40" s="112"/>
      <c r="O40" s="560"/>
      <c r="P40" s="508"/>
      <c r="Q40" s="592"/>
      <c r="R40" s="410"/>
      <c r="T40" s="363" t="str">
        <f>IF(D40="","",VLOOKUP(D40,'9. All Habitats + Multipliers'!$C$4:$K$102,5,FALSE))</f>
        <v/>
      </c>
      <c r="U40" s="362"/>
      <c r="V40" s="580" t="str">
        <f>IF(T40="","",VLOOKUP(T40,'11. Lists'!$B$47:$D$49,2,FALSE))</f>
        <v/>
      </c>
      <c r="W40" s="579" t="str">
        <f t="shared" si="10"/>
        <v/>
      </c>
      <c r="X40" s="580" t="str">
        <f>IF(W40="","",VLOOKUP(W40,'11. Lists'!$F$47:$G$51,2,FALSE))</f>
        <v/>
      </c>
      <c r="Y40" s="852"/>
      <c r="Z40" s="823"/>
      <c r="AA40" s="985"/>
      <c r="AB40" s="579" t="str">
        <f t="shared" si="11"/>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c r="AI40" s="960" t="str">
        <v>1</v>
      </c>
      <c r="AJ40" s="643"/>
      <c r="AK40" s="643"/>
      <c r="AL40" s="643"/>
      <c r="AM40" s="643"/>
      <c r="AN40" s="643"/>
      <c r="AR40" s="643"/>
    </row>
    <row r="41" spans="2:44" s="520" customFormat="1" ht="15.6" customHeight="1" x14ac:dyDescent="0.25">
      <c r="B41" s="744">
        <v>3</v>
      </c>
      <c r="C41" s="1034" t="s">
        <v>264</v>
      </c>
      <c r="D41" s="559"/>
      <c r="E41" s="591" t="str">
        <f>IF(D41="","",VLOOKUP(D41,'10. Condition and Temporal'!$B$6:$D$103,3,FALSE))</f>
        <v/>
      </c>
      <c r="F41" s="328"/>
      <c r="G41" s="327"/>
      <c r="H41" s="557"/>
      <c r="I41" s="334"/>
      <c r="J41" s="333"/>
      <c r="K41" s="333"/>
      <c r="L41" s="114" t="str">
        <f t="shared" si="9"/>
        <v/>
      </c>
      <c r="M41" s="113"/>
      <c r="N41" s="112"/>
      <c r="O41" s="560"/>
      <c r="P41" s="508"/>
      <c r="Q41" s="592"/>
      <c r="R41" s="410"/>
      <c r="T41" s="363" t="str">
        <f>IF(D41="","",VLOOKUP(D41,'9. All Habitats + Multipliers'!$C$4:$K$102,5,FALSE))</f>
        <v/>
      </c>
      <c r="U41" s="362"/>
      <c r="V41" s="580" t="str">
        <f>IF(T41="","",VLOOKUP(T41,'11. Lists'!$B$47:$D$49,2,FALSE))</f>
        <v/>
      </c>
      <c r="W41" s="579" t="str">
        <f t="shared" si="10"/>
        <v/>
      </c>
      <c r="X41" s="580" t="str">
        <f>IF(W41="","",VLOOKUP(W41,'11. Lists'!$F$47:$G$51,2,FALSE))</f>
        <v/>
      </c>
      <c r="Y41" s="852"/>
      <c r="Z41" s="823"/>
      <c r="AA41" s="985"/>
      <c r="AB41" s="579" t="str">
        <f t="shared" si="11"/>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c r="AI41" s="960" t="str">
        <v>1</v>
      </c>
      <c r="AJ41" s="643"/>
      <c r="AK41" s="643"/>
      <c r="AL41" s="643"/>
      <c r="AM41" s="643"/>
      <c r="AN41" s="643"/>
      <c r="AR41" s="643"/>
    </row>
    <row r="42" spans="2:44" s="520" customFormat="1" ht="15.6" customHeight="1" x14ac:dyDescent="0.25">
      <c r="B42" s="744">
        <v>4</v>
      </c>
      <c r="C42" s="1034" t="s">
        <v>264</v>
      </c>
      <c r="D42" s="559"/>
      <c r="E42" s="591" t="str">
        <f>IF(D42="","",VLOOKUP(D42,'10. Condition and Temporal'!$B$6:$D$103,3,FALSE))</f>
        <v/>
      </c>
      <c r="F42" s="328"/>
      <c r="G42" s="327"/>
      <c r="H42" s="557"/>
      <c r="I42" s="334"/>
      <c r="J42" s="333"/>
      <c r="K42" s="333"/>
      <c r="L42" s="114" t="str">
        <f t="shared" si="9"/>
        <v/>
      </c>
      <c r="M42" s="113"/>
      <c r="N42" s="112"/>
      <c r="O42" s="560"/>
      <c r="P42" s="508"/>
      <c r="Q42" s="592"/>
      <c r="R42" s="410"/>
      <c r="T42" s="363" t="str">
        <f>IF(D42="","",VLOOKUP(D42,'9. All Habitats + Multipliers'!$C$4:$K$102,5,FALSE))</f>
        <v/>
      </c>
      <c r="U42" s="362"/>
      <c r="V42" s="580" t="str">
        <f>IF(T42="","",VLOOKUP(T42,'11. Lists'!$B$47:$D$49,2,FALSE))</f>
        <v/>
      </c>
      <c r="W42" s="579" t="str">
        <f t="shared" si="10"/>
        <v/>
      </c>
      <c r="X42" s="580" t="str">
        <f>IF(W42="","",VLOOKUP(W42,'11. Lists'!$F$47:$G$51,2,FALSE))</f>
        <v/>
      </c>
      <c r="Y42" s="852"/>
      <c r="Z42" s="823"/>
      <c r="AA42" s="985"/>
      <c r="AB42" s="579" t="str">
        <f t="shared" si="11"/>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c r="AI42" s="960" t="str">
        <v>1</v>
      </c>
      <c r="AJ42" s="643"/>
      <c r="AK42" s="643"/>
      <c r="AL42" s="643"/>
      <c r="AM42" s="643"/>
      <c r="AN42" s="643"/>
      <c r="AR42" s="643"/>
    </row>
    <row r="43" spans="2:44" s="520" customFormat="1" ht="15.6" customHeight="1" x14ac:dyDescent="0.25">
      <c r="B43" s="744">
        <v>5</v>
      </c>
      <c r="C43" s="1034" t="s">
        <v>264</v>
      </c>
      <c r="D43" s="559"/>
      <c r="E43" s="591" t="str">
        <f>IF(D43="","",VLOOKUP(D43,'10. Condition and Temporal'!$B$6:$D$103,3,FALSE))</f>
        <v/>
      </c>
      <c r="F43" s="328"/>
      <c r="G43" s="327"/>
      <c r="H43" s="557"/>
      <c r="I43" s="334"/>
      <c r="J43" s="333"/>
      <c r="K43" s="333"/>
      <c r="L43" s="114" t="str">
        <f t="shared" si="9"/>
        <v/>
      </c>
      <c r="M43" s="113"/>
      <c r="N43" s="112"/>
      <c r="O43" s="560"/>
      <c r="P43" s="508"/>
      <c r="R43" s="410"/>
      <c r="T43" s="363" t="str">
        <f>IF(D43="","",VLOOKUP(D43,'9. All Habitats + Multipliers'!$C$4:$K$102,5,FALSE))</f>
        <v/>
      </c>
      <c r="U43" s="362"/>
      <c r="V43" s="580" t="str">
        <f>IF(T43="","",VLOOKUP(T43,'11. Lists'!$B$47:$D$49,2,FALSE))</f>
        <v/>
      </c>
      <c r="W43" s="579" t="str">
        <f t="shared" si="10"/>
        <v/>
      </c>
      <c r="X43" s="580" t="str">
        <f>IF(W43="","",VLOOKUP(W43,'11. Lists'!$F$47:$G$51,2,FALSE))</f>
        <v/>
      </c>
      <c r="Y43" s="852"/>
      <c r="Z43" s="823"/>
      <c r="AA43" s="985"/>
      <c r="AB43" s="579" t="str">
        <f t="shared" si="11"/>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c r="AI43" s="960" t="str">
        <v>1</v>
      </c>
      <c r="AJ43" s="643"/>
      <c r="AK43" s="643"/>
      <c r="AL43" s="643"/>
      <c r="AM43" s="643"/>
      <c r="AN43" s="643"/>
      <c r="AR43" s="643"/>
    </row>
    <row r="44" spans="2:44" s="520" customFormat="1" ht="15.6" customHeight="1" x14ac:dyDescent="0.25">
      <c r="B44" s="744">
        <v>6</v>
      </c>
      <c r="C44" s="1034" t="s">
        <v>264</v>
      </c>
      <c r="D44" s="559"/>
      <c r="E44" s="591" t="str">
        <f>IF(D44="","",VLOOKUP(D44,'10. Condition and Temporal'!$B$6:$D$103,3,FALSE))</f>
        <v/>
      </c>
      <c r="F44" s="328"/>
      <c r="G44" s="327"/>
      <c r="H44" s="557"/>
      <c r="I44" s="334"/>
      <c r="J44" s="333"/>
      <c r="K44" s="333"/>
      <c r="L44" s="114" t="str">
        <f t="shared" si="9"/>
        <v/>
      </c>
      <c r="M44" s="113"/>
      <c r="N44" s="112"/>
      <c r="O44" s="560"/>
      <c r="P44" s="508"/>
      <c r="R44" s="410"/>
      <c r="T44" s="363" t="str">
        <f>IF(D44="","",VLOOKUP(D44,'9. All Habitats + Multipliers'!$C$4:$K$102,5,FALSE))</f>
        <v/>
      </c>
      <c r="U44" s="362"/>
      <c r="V44" s="580" t="str">
        <f>IF(T44="","",VLOOKUP(T44,'11. Lists'!$B$47:$D$49,2,FALSE))</f>
        <v/>
      </c>
      <c r="W44" s="579" t="str">
        <f t="shared" si="10"/>
        <v/>
      </c>
      <c r="X44" s="580" t="str">
        <f>IF(W44="","",VLOOKUP(W44,'11. Lists'!$F$47:$G$51,2,FALSE))</f>
        <v/>
      </c>
      <c r="Y44" s="852"/>
      <c r="Z44" s="823"/>
      <c r="AA44" s="985"/>
      <c r="AB44" s="579" t="str">
        <f t="shared" si="11"/>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c r="AI44" s="960" t="str">
        <v>1</v>
      </c>
      <c r="AJ44" s="643"/>
      <c r="AK44" s="643"/>
      <c r="AL44" s="643"/>
      <c r="AM44" s="643"/>
      <c r="AN44" s="643"/>
      <c r="AR44" s="643"/>
    </row>
    <row r="45" spans="2:44" s="520" customFormat="1" ht="15.6" customHeight="1" x14ac:dyDescent="0.25">
      <c r="B45" s="744">
        <v>7</v>
      </c>
      <c r="C45" s="1034" t="s">
        <v>264</v>
      </c>
      <c r="D45" s="559"/>
      <c r="E45" s="591" t="str">
        <f>IF(D45="","",VLOOKUP(D45,'10. Condition and Temporal'!$B$6:$D$103,3,FALSE))</f>
        <v/>
      </c>
      <c r="F45" s="328"/>
      <c r="G45" s="327"/>
      <c r="H45" s="557"/>
      <c r="I45" s="334"/>
      <c r="J45" s="333"/>
      <c r="K45" s="333"/>
      <c r="L45" s="114" t="str">
        <f t="shared" si="9"/>
        <v/>
      </c>
      <c r="M45" s="113"/>
      <c r="N45" s="112"/>
      <c r="O45" s="560"/>
      <c r="P45" s="508"/>
      <c r="R45" s="410"/>
      <c r="T45" s="363" t="str">
        <f>IF(D45="","",VLOOKUP(D45,'9. All Habitats + Multipliers'!$C$4:$K$102,5,FALSE))</f>
        <v/>
      </c>
      <c r="U45" s="362"/>
      <c r="V45" s="580" t="str">
        <f>IF(T45="","",VLOOKUP(T45,'11. Lists'!$B$47:$D$49,2,FALSE))</f>
        <v/>
      </c>
      <c r="W45" s="579" t="str">
        <f t="shared" si="10"/>
        <v/>
      </c>
      <c r="X45" s="580" t="str">
        <f>IF(W45="","",VLOOKUP(W45,'11. Lists'!$F$47:$G$51,2,FALSE))</f>
        <v/>
      </c>
      <c r="Y45" s="852"/>
      <c r="Z45" s="823"/>
      <c r="AA45" s="985"/>
      <c r="AB45" s="579" t="str">
        <f t="shared" si="11"/>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c r="AI45" s="960" t="str">
        <v>1</v>
      </c>
      <c r="AJ45" s="643"/>
      <c r="AK45" s="643"/>
      <c r="AL45" s="643"/>
      <c r="AM45" s="643"/>
      <c r="AN45" s="643"/>
      <c r="AR45" s="643"/>
    </row>
    <row r="46" spans="2:44" s="520" customFormat="1" ht="15.6" customHeight="1" x14ac:dyDescent="0.25">
      <c r="B46" s="744">
        <v>8</v>
      </c>
      <c r="C46" s="1034" t="s">
        <v>264</v>
      </c>
      <c r="D46" s="559"/>
      <c r="E46" s="591" t="str">
        <f>IF(D46="","",VLOOKUP(D46,'10. Condition and Temporal'!$B$6:$D$103,3,FALSE))</f>
        <v/>
      </c>
      <c r="F46" s="328"/>
      <c r="G46" s="327"/>
      <c r="H46" s="557"/>
      <c r="I46" s="334"/>
      <c r="J46" s="333"/>
      <c r="K46" s="333"/>
      <c r="L46" s="114" t="str">
        <f t="shared" si="9"/>
        <v/>
      </c>
      <c r="M46" s="113"/>
      <c r="N46" s="112"/>
      <c r="O46" s="560"/>
      <c r="P46" s="508"/>
      <c r="R46" s="410"/>
      <c r="T46" s="363" t="str">
        <f>IF(D46="","",VLOOKUP(D46,'9. All Habitats + Multipliers'!$C$4:$K$102,5,FALSE))</f>
        <v/>
      </c>
      <c r="U46" s="362"/>
      <c r="V46" s="580" t="str">
        <f>IF(T46="","",VLOOKUP(T46,'11. Lists'!$B$47:$D$49,2,FALSE))</f>
        <v/>
      </c>
      <c r="W46" s="579" t="str">
        <f t="shared" si="10"/>
        <v/>
      </c>
      <c r="X46" s="580" t="str">
        <f>IF(W46="","",VLOOKUP(W46,'11. Lists'!$F$47:$G$51,2,FALSE))</f>
        <v/>
      </c>
      <c r="Y46" s="852"/>
      <c r="Z46" s="823"/>
      <c r="AA46" s="985"/>
      <c r="AB46" s="579" t="str">
        <f t="shared" si="11"/>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c r="AI46" s="960" t="str">
        <v>1</v>
      </c>
      <c r="AJ46" s="643"/>
      <c r="AK46" s="643"/>
      <c r="AL46" s="643"/>
      <c r="AM46" s="643"/>
      <c r="AN46" s="643"/>
      <c r="AR46" s="643"/>
    </row>
    <row r="47" spans="2:44" s="520" customFormat="1" ht="15.6" customHeight="1" x14ac:dyDescent="0.25">
      <c r="B47" s="744">
        <v>9</v>
      </c>
      <c r="C47" s="1034" t="s">
        <v>264</v>
      </c>
      <c r="D47" s="559"/>
      <c r="E47" s="591" t="str">
        <f>IF(D47="","",VLOOKUP(D47,'10. Condition and Temporal'!$B$6:$D$103,3,FALSE))</f>
        <v/>
      </c>
      <c r="F47" s="328"/>
      <c r="G47" s="327"/>
      <c r="H47" s="557"/>
      <c r="I47" s="334"/>
      <c r="J47" s="333"/>
      <c r="K47" s="333"/>
      <c r="L47" s="114" t="str">
        <f t="shared" si="9"/>
        <v/>
      </c>
      <c r="M47" s="113"/>
      <c r="N47" s="112"/>
      <c r="O47" s="560"/>
      <c r="P47" s="508"/>
      <c r="R47" s="410"/>
      <c r="T47" s="363" t="str">
        <f>IF(D47="","",VLOOKUP(D47,'9. All Habitats + Multipliers'!$C$4:$K$102,5,FALSE))</f>
        <v/>
      </c>
      <c r="U47" s="362"/>
      <c r="V47" s="580" t="str">
        <f>IF(T47="","",VLOOKUP(T47,'11. Lists'!$B$47:$D$49,2,FALSE))</f>
        <v/>
      </c>
      <c r="W47" s="579" t="str">
        <f t="shared" si="10"/>
        <v/>
      </c>
      <c r="X47" s="580" t="str">
        <f>IF(W47="","",VLOOKUP(W47,'11. Lists'!$F$47:$G$51,2,FALSE))</f>
        <v/>
      </c>
      <c r="Y47" s="852"/>
      <c r="Z47" s="823"/>
      <c r="AA47" s="985"/>
      <c r="AB47" s="579" t="str">
        <f t="shared" si="11"/>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c r="AI47" s="960" t="str">
        <v>1</v>
      </c>
      <c r="AJ47" s="643"/>
      <c r="AK47" s="643"/>
      <c r="AL47" s="643"/>
      <c r="AM47" s="643"/>
      <c r="AN47" s="643"/>
      <c r="AR47" s="643"/>
    </row>
    <row r="48" spans="2:44" s="520" customFormat="1" ht="15.6" customHeight="1" x14ac:dyDescent="0.25">
      <c r="B48" s="744">
        <v>10</v>
      </c>
      <c r="C48" s="1034" t="s">
        <v>264</v>
      </c>
      <c r="D48" s="559"/>
      <c r="E48" s="591" t="str">
        <f>IF(D48="","",VLOOKUP(D48,'10. Condition and Temporal'!$B$6:$D$103,3,FALSE))</f>
        <v/>
      </c>
      <c r="F48" s="328"/>
      <c r="G48" s="327"/>
      <c r="H48" s="557"/>
      <c r="I48" s="334"/>
      <c r="J48" s="333"/>
      <c r="K48" s="333"/>
      <c r="L48" s="114" t="str">
        <f t="shared" si="9"/>
        <v/>
      </c>
      <c r="M48" s="113"/>
      <c r="N48" s="112"/>
      <c r="O48" s="560"/>
      <c r="P48" s="508"/>
      <c r="R48" s="410"/>
      <c r="T48" s="363" t="str">
        <f>IF(D48="","",VLOOKUP(D48,'9. All Habitats + Multipliers'!$C$4:$K$102,5,FALSE))</f>
        <v/>
      </c>
      <c r="U48" s="362"/>
      <c r="V48" s="580" t="str">
        <f>IF(T48="","",VLOOKUP(T48,'11. Lists'!$B$47:$D$49,2,FALSE))</f>
        <v/>
      </c>
      <c r="W48" s="579" t="str">
        <f t="shared" si="10"/>
        <v/>
      </c>
      <c r="X48" s="580" t="str">
        <f>IF(W48="","",VLOOKUP(W48,'11. Lists'!$F$47:$G$51,2,FALSE))</f>
        <v/>
      </c>
      <c r="Y48" s="852"/>
      <c r="Z48" s="823"/>
      <c r="AA48" s="985"/>
      <c r="AB48" s="579" t="str">
        <f t="shared" si="11"/>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c r="AI48" s="960" t="str">
        <v>1</v>
      </c>
      <c r="AJ48" s="643"/>
      <c r="AK48" s="643"/>
      <c r="AL48" s="643"/>
      <c r="AM48" s="643"/>
      <c r="AN48" s="643"/>
      <c r="AR48" s="643"/>
    </row>
    <row r="49" spans="1:73" s="520" customFormat="1" ht="15.6" customHeight="1" x14ac:dyDescent="0.25">
      <c r="B49" s="744">
        <v>11</v>
      </c>
      <c r="C49" s="1034" t="s">
        <v>264</v>
      </c>
      <c r="D49" s="559"/>
      <c r="E49" s="591" t="str">
        <f>IF(D49="","",VLOOKUP(D49,'10. Condition and Temporal'!$B$6:$D$103,3,FALSE))</f>
        <v/>
      </c>
      <c r="F49" s="328"/>
      <c r="G49" s="327"/>
      <c r="H49" s="557"/>
      <c r="I49" s="334"/>
      <c r="J49" s="333"/>
      <c r="K49" s="333"/>
      <c r="L49" s="114" t="str">
        <f t="shared" si="9"/>
        <v/>
      </c>
      <c r="M49" s="113"/>
      <c r="N49" s="112"/>
      <c r="O49" s="560"/>
      <c r="P49" s="508"/>
      <c r="R49" s="410"/>
      <c r="T49" s="363" t="str">
        <f>IF(D49="","",VLOOKUP(D49,'9. All Habitats + Multipliers'!$C$4:$K$102,5,FALSE))</f>
        <v/>
      </c>
      <c r="U49" s="362"/>
      <c r="V49" s="580" t="str">
        <f>IF(T49="","",VLOOKUP(T49,'11. Lists'!$B$47:$D$49,2,FALSE))</f>
        <v/>
      </c>
      <c r="W49" s="579" t="str">
        <f t="shared" si="10"/>
        <v/>
      </c>
      <c r="X49" s="580" t="str">
        <f>IF(W49="","",VLOOKUP(W49,'11. Lists'!$F$47:$G$51,2,FALSE))</f>
        <v/>
      </c>
      <c r="Y49" s="852"/>
      <c r="Z49" s="823"/>
      <c r="AA49" s="985"/>
      <c r="AB49" s="579" t="str">
        <f t="shared" si="11"/>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c r="AI49" s="960" t="str">
        <v>1</v>
      </c>
      <c r="AJ49" s="643"/>
      <c r="AK49" s="643"/>
      <c r="AL49" s="643"/>
      <c r="AM49" s="643"/>
      <c r="AN49" s="643"/>
      <c r="AR49" s="643"/>
    </row>
    <row r="50" spans="1:73" s="520" customFormat="1" ht="15.6" customHeight="1" x14ac:dyDescent="0.25">
      <c r="B50" s="744">
        <v>12</v>
      </c>
      <c r="C50" s="1034" t="s">
        <v>264</v>
      </c>
      <c r="D50" s="559"/>
      <c r="E50" s="591" t="str">
        <f>IF(D50="","",VLOOKUP(D50,'10. Condition and Temporal'!$B$6:$D$103,3,FALSE))</f>
        <v/>
      </c>
      <c r="F50" s="328"/>
      <c r="G50" s="327"/>
      <c r="H50" s="557"/>
      <c r="I50" s="334"/>
      <c r="J50" s="333"/>
      <c r="K50" s="333"/>
      <c r="L50" s="114" t="str">
        <f t="shared" si="9"/>
        <v/>
      </c>
      <c r="M50" s="113"/>
      <c r="N50" s="112"/>
      <c r="O50" s="560"/>
      <c r="P50" s="508"/>
      <c r="R50" s="410"/>
      <c r="T50" s="363" t="str">
        <f>IF(D50="","",VLOOKUP(D50,'9. All Habitats + Multipliers'!$C$4:$K$102,5,FALSE))</f>
        <v/>
      </c>
      <c r="U50" s="362"/>
      <c r="V50" s="580" t="str">
        <f>IF(T50="","",VLOOKUP(T50,'11. Lists'!$B$47:$D$49,2,FALSE))</f>
        <v/>
      </c>
      <c r="W50" s="579" t="str">
        <f t="shared" si="10"/>
        <v/>
      </c>
      <c r="X50" s="580" t="str">
        <f>IF(W50="","",VLOOKUP(W50,'11. Lists'!$F$47:$G$51,2,FALSE))</f>
        <v/>
      </c>
      <c r="Y50" s="852"/>
      <c r="Z50" s="823"/>
      <c r="AA50" s="985"/>
      <c r="AB50" s="579" t="str">
        <f t="shared" si="11"/>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c r="AI50" s="960" t="str">
        <v>1</v>
      </c>
      <c r="AJ50" s="643"/>
      <c r="AK50" s="643"/>
      <c r="AL50" s="643"/>
      <c r="AM50" s="643"/>
      <c r="AN50" s="643"/>
    </row>
    <row r="51" spans="1:73" s="520" customFormat="1" ht="15.6" customHeight="1" x14ac:dyDescent="0.25">
      <c r="B51" s="744">
        <v>13</v>
      </c>
      <c r="C51" s="1034" t="s">
        <v>264</v>
      </c>
      <c r="D51" s="559"/>
      <c r="E51" s="591" t="str">
        <f>IF(D51="","",VLOOKUP(D51,'10. Condition and Temporal'!$B$6:$D$103,3,FALSE))</f>
        <v/>
      </c>
      <c r="F51" s="328"/>
      <c r="G51" s="327"/>
      <c r="H51" s="557"/>
      <c r="I51" s="334"/>
      <c r="J51" s="333"/>
      <c r="K51" s="333"/>
      <c r="L51" s="114" t="str">
        <f t="shared" si="9"/>
        <v/>
      </c>
      <c r="M51" s="113"/>
      <c r="N51" s="112"/>
      <c r="O51" s="560"/>
      <c r="P51" s="508"/>
      <c r="R51" s="410"/>
      <c r="T51" s="363" t="str">
        <f>IF(D51="","",VLOOKUP(D51,'9. All Habitats + Multipliers'!$C$4:$K$102,5,FALSE))</f>
        <v/>
      </c>
      <c r="U51" s="362"/>
      <c r="V51" s="580" t="str">
        <f>IF(T51="","",VLOOKUP(T51,'11. Lists'!$B$47:$D$49,2,FALSE))</f>
        <v/>
      </c>
      <c r="W51" s="579" t="str">
        <f t="shared" si="10"/>
        <v/>
      </c>
      <c r="X51" s="580" t="str">
        <f>IF(W51="","",VLOOKUP(W51,'11. Lists'!$F$47:$G$51,2,FALSE))</f>
        <v/>
      </c>
      <c r="Y51" s="852"/>
      <c r="Z51" s="823"/>
      <c r="AA51" s="985"/>
      <c r="AB51" s="579" t="str">
        <f t="shared" si="11"/>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c r="AI51" s="960" t="str">
        <v>1</v>
      </c>
      <c r="AJ51" s="643"/>
      <c r="AK51" s="643"/>
      <c r="AL51" s="643"/>
      <c r="AM51" s="643"/>
      <c r="AN51" s="643"/>
    </row>
    <row r="52" spans="1:73" s="520" customFormat="1" ht="15.6" customHeight="1" x14ac:dyDescent="0.25">
      <c r="B52" s="744">
        <v>14</v>
      </c>
      <c r="C52" s="1034" t="s">
        <v>264</v>
      </c>
      <c r="D52" s="559"/>
      <c r="E52" s="591" t="str">
        <f>IF(D52="","",VLOOKUP(D52,'10. Condition and Temporal'!$B$6:$D$103,3,FALSE))</f>
        <v/>
      </c>
      <c r="F52" s="328"/>
      <c r="G52" s="327"/>
      <c r="H52" s="557"/>
      <c r="I52" s="334"/>
      <c r="J52" s="333"/>
      <c r="K52" s="333"/>
      <c r="L52" s="114" t="str">
        <f t="shared" si="9"/>
        <v/>
      </c>
      <c r="M52" s="113"/>
      <c r="N52" s="112"/>
      <c r="O52" s="560"/>
      <c r="P52" s="508"/>
      <c r="R52" s="410"/>
      <c r="T52" s="363" t="str">
        <f>IF(D52="","",VLOOKUP(D52,'9. All Habitats + Multipliers'!$C$4:$K$102,5,FALSE))</f>
        <v/>
      </c>
      <c r="U52" s="362"/>
      <c r="V52" s="580" t="str">
        <f>IF(T52="","",VLOOKUP(T52,'11. Lists'!$B$47:$D$49,2,FALSE))</f>
        <v/>
      </c>
      <c r="W52" s="579" t="str">
        <f t="shared" si="10"/>
        <v/>
      </c>
      <c r="X52" s="580" t="str">
        <f>IF(W52="","",VLOOKUP(W52,'11. Lists'!$F$47:$G$51,2,FALSE))</f>
        <v/>
      </c>
      <c r="Y52" s="852"/>
      <c r="Z52" s="823"/>
      <c r="AA52" s="985"/>
      <c r="AB52" s="579" t="str">
        <f t="shared" si="11"/>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c r="AI52" s="960" t="str">
        <v>1</v>
      </c>
      <c r="AJ52" s="643"/>
      <c r="AK52" s="643"/>
      <c r="AL52" s="643"/>
      <c r="AM52" s="643"/>
      <c r="AN52" s="643"/>
    </row>
    <row r="53" spans="1:73" s="520" customFormat="1" ht="15.6" customHeight="1" x14ac:dyDescent="0.25">
      <c r="B53" s="744">
        <v>15</v>
      </c>
      <c r="C53" s="1034" t="s">
        <v>264</v>
      </c>
      <c r="D53" s="559"/>
      <c r="E53" s="591" t="str">
        <f>IF(D53="","",VLOOKUP(D53,'10. Condition and Temporal'!$B$6:$D$103,3,FALSE))</f>
        <v/>
      </c>
      <c r="F53" s="328"/>
      <c r="G53" s="327"/>
      <c r="H53" s="557"/>
      <c r="I53" s="334"/>
      <c r="J53" s="333"/>
      <c r="K53" s="333"/>
      <c r="L53" s="114" t="str">
        <f t="shared" si="9"/>
        <v/>
      </c>
      <c r="M53" s="113"/>
      <c r="N53" s="112"/>
      <c r="O53" s="560"/>
      <c r="P53" s="508"/>
      <c r="R53" s="410"/>
      <c r="T53" s="363" t="str">
        <f>IF(D53="","",VLOOKUP(D53,'9. All Habitats + Multipliers'!$C$4:$K$102,5,FALSE))</f>
        <v/>
      </c>
      <c r="U53" s="362"/>
      <c r="V53" s="580" t="str">
        <f>IF(T53="","",VLOOKUP(T53,'11. Lists'!$B$47:$D$49,2,FALSE))</f>
        <v/>
      </c>
      <c r="W53" s="579" t="str">
        <f t="shared" si="10"/>
        <v/>
      </c>
      <c r="X53" s="580" t="str">
        <f>IF(W53="","",VLOOKUP(W53,'11. Lists'!$F$47:$G$51,2,FALSE))</f>
        <v/>
      </c>
      <c r="Y53" s="852"/>
      <c r="Z53" s="823"/>
      <c r="AA53" s="985"/>
      <c r="AB53" s="579" t="str">
        <f t="shared" si="11"/>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c r="AI53" s="960" t="str">
        <v>1</v>
      </c>
      <c r="AJ53" s="643"/>
      <c r="AK53" s="643"/>
      <c r="AL53" s="643"/>
      <c r="AM53" s="643"/>
      <c r="AN53" s="643"/>
    </row>
    <row r="54" spans="1:73" s="520" customFormat="1" ht="15.6" customHeight="1" x14ac:dyDescent="0.25">
      <c r="B54" s="744">
        <v>16</v>
      </c>
      <c r="C54" s="1034" t="s">
        <v>264</v>
      </c>
      <c r="D54" s="559"/>
      <c r="E54" s="591" t="str">
        <f>IF(D54="","",VLOOKUP(D54,'10. Condition and Temporal'!$B$6:$D$103,3,FALSE))</f>
        <v/>
      </c>
      <c r="F54" s="328"/>
      <c r="G54" s="327"/>
      <c r="H54" s="557"/>
      <c r="I54" s="334"/>
      <c r="J54" s="333"/>
      <c r="K54" s="333"/>
      <c r="L54" s="114" t="str">
        <f t="shared" si="9"/>
        <v/>
      </c>
      <c r="M54" s="113"/>
      <c r="N54" s="112"/>
      <c r="O54" s="560"/>
      <c r="P54" s="508"/>
      <c r="R54" s="410"/>
      <c r="T54" s="363" t="str">
        <f>IF(D54="","",VLOOKUP(D54,'9. All Habitats + Multipliers'!$C$4:$K$102,5,FALSE))</f>
        <v/>
      </c>
      <c r="U54" s="362"/>
      <c r="V54" s="580" t="str">
        <f>IF(T54="","",VLOOKUP(T54,'11. Lists'!$B$47:$D$49,2,FALSE))</f>
        <v/>
      </c>
      <c r="W54" s="579" t="str">
        <f t="shared" si="10"/>
        <v/>
      </c>
      <c r="X54" s="580" t="str">
        <f>IF(W54="","",VLOOKUP(W54,'11. Lists'!$F$47:$G$51,2,FALSE))</f>
        <v/>
      </c>
      <c r="Y54" s="852"/>
      <c r="Z54" s="823"/>
      <c r="AA54" s="985"/>
      <c r="AB54" s="579" t="str">
        <f t="shared" si="11"/>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c r="AI54" s="960" t="str">
        <v>1</v>
      </c>
      <c r="AJ54" s="643"/>
      <c r="AK54" s="643"/>
      <c r="AL54" s="643"/>
      <c r="AM54" s="643"/>
      <c r="AN54" s="643"/>
    </row>
    <row r="55" spans="1:73" s="520" customFormat="1" ht="15.6" customHeight="1" x14ac:dyDescent="0.25">
      <c r="B55" s="744">
        <v>17</v>
      </c>
      <c r="C55" s="1034" t="s">
        <v>264</v>
      </c>
      <c r="D55" s="559"/>
      <c r="E55" s="591" t="str">
        <f>IF(D55="","",VLOOKUP(D55,'10. Condition and Temporal'!$B$6:$D$103,3,FALSE))</f>
        <v/>
      </c>
      <c r="F55" s="328"/>
      <c r="G55" s="327"/>
      <c r="H55" s="557"/>
      <c r="I55" s="334"/>
      <c r="J55" s="333"/>
      <c r="K55" s="333"/>
      <c r="L55" s="114" t="str">
        <f t="shared" si="9"/>
        <v/>
      </c>
      <c r="M55" s="113"/>
      <c r="N55" s="112"/>
      <c r="O55" s="560"/>
      <c r="P55" s="508"/>
      <c r="R55" s="410"/>
      <c r="T55" s="363" t="str">
        <f>IF(D55="","",VLOOKUP(D55,'9. All Habitats + Multipliers'!$C$4:$K$102,5,FALSE))</f>
        <v/>
      </c>
      <c r="U55" s="362"/>
      <c r="V55" s="580" t="str">
        <f>IF(T55="","",VLOOKUP(T55,'11. Lists'!$B$47:$D$49,2,FALSE))</f>
        <v/>
      </c>
      <c r="W55" s="579" t="str">
        <f t="shared" si="10"/>
        <v/>
      </c>
      <c r="X55" s="580" t="str">
        <f>IF(W55="","",VLOOKUP(W55,'11. Lists'!$F$47:$G$51,2,FALSE))</f>
        <v/>
      </c>
      <c r="Y55" s="852"/>
      <c r="Z55" s="823"/>
      <c r="AA55" s="985"/>
      <c r="AB55" s="579" t="str">
        <f t="shared" si="11"/>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c r="AI55" s="960" t="str">
        <v>1</v>
      </c>
      <c r="AJ55" s="643"/>
      <c r="AK55" s="643"/>
      <c r="AL55" s="643"/>
      <c r="AM55" s="643"/>
      <c r="AN55" s="643"/>
    </row>
    <row r="56" spans="1:73" s="520" customFormat="1" ht="15.6" customHeight="1" x14ac:dyDescent="0.25">
      <c r="B56" s="744">
        <v>18</v>
      </c>
      <c r="C56" s="1034" t="s">
        <v>264</v>
      </c>
      <c r="D56" s="559"/>
      <c r="E56" s="591" t="str">
        <f>IF(D56="","",VLOOKUP(D56,'10. Condition and Temporal'!$B$6:$D$103,3,FALSE))</f>
        <v/>
      </c>
      <c r="F56" s="328"/>
      <c r="G56" s="327"/>
      <c r="H56" s="557"/>
      <c r="I56" s="334"/>
      <c r="J56" s="333"/>
      <c r="K56" s="333"/>
      <c r="L56" s="114" t="str">
        <f t="shared" si="9"/>
        <v/>
      </c>
      <c r="M56" s="113"/>
      <c r="N56" s="112"/>
      <c r="O56" s="560"/>
      <c r="P56" s="508"/>
      <c r="R56" s="410"/>
      <c r="T56" s="363" t="str">
        <f>IF(D56="","",VLOOKUP(D56,'9. All Habitats + Multipliers'!$C$4:$K$102,5,FALSE))</f>
        <v/>
      </c>
      <c r="U56" s="362"/>
      <c r="V56" s="580" t="str">
        <f>IF(T56="","",VLOOKUP(T56,'11. Lists'!$B$47:$D$49,2,FALSE))</f>
        <v/>
      </c>
      <c r="W56" s="579" t="str">
        <f t="shared" si="10"/>
        <v/>
      </c>
      <c r="X56" s="580" t="str">
        <f>IF(W56="","",VLOOKUP(W56,'11. Lists'!$F$47:$G$51,2,FALSE))</f>
        <v/>
      </c>
      <c r="Y56" s="852"/>
      <c r="Z56" s="823"/>
      <c r="AA56" s="985"/>
      <c r="AB56" s="579" t="str">
        <f t="shared" si="11"/>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c r="AI56" s="960" t="str">
        <v>1</v>
      </c>
      <c r="AJ56" s="643"/>
      <c r="AK56" s="643"/>
      <c r="AL56" s="643"/>
      <c r="AM56" s="643"/>
      <c r="AN56" s="643"/>
    </row>
    <row r="57" spans="1:73" s="520" customFormat="1" ht="15.6" customHeight="1" x14ac:dyDescent="0.25">
      <c r="B57" s="744">
        <v>19</v>
      </c>
      <c r="C57" s="1034" t="s">
        <v>264</v>
      </c>
      <c r="D57" s="559"/>
      <c r="E57" s="591" t="str">
        <f>IF(D57="","",VLOOKUP(D57,'10. Condition and Temporal'!$B$6:$D$103,3,FALSE))</f>
        <v/>
      </c>
      <c r="F57" s="328"/>
      <c r="G57" s="327"/>
      <c r="H57" s="557"/>
      <c r="I57" s="334"/>
      <c r="J57" s="333"/>
      <c r="K57" s="333"/>
      <c r="L57" s="114" t="str">
        <f t="shared" si="9"/>
        <v/>
      </c>
      <c r="M57" s="113"/>
      <c r="N57" s="112"/>
      <c r="O57" s="560"/>
      <c r="P57" s="508"/>
      <c r="R57" s="410"/>
      <c r="T57" s="363" t="str">
        <f>IF(D57="","",VLOOKUP(D57,'9. All Habitats + Multipliers'!$C$4:$K$102,5,FALSE))</f>
        <v/>
      </c>
      <c r="U57" s="362"/>
      <c r="V57" s="580" t="str">
        <f>IF(T57="","",VLOOKUP(T57,'11. Lists'!$B$47:$D$49,2,FALSE))</f>
        <v/>
      </c>
      <c r="W57" s="579" t="str">
        <f t="shared" si="10"/>
        <v/>
      </c>
      <c r="X57" s="580" t="str">
        <f>IF(W57="","",VLOOKUP(W57,'11. Lists'!$F$47:$G$51,2,FALSE))</f>
        <v/>
      </c>
      <c r="Y57" s="852"/>
      <c r="Z57" s="823"/>
      <c r="AA57" s="985"/>
      <c r="AB57" s="579" t="str">
        <f t="shared" si="11"/>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c r="AI57" s="960" t="str">
        <v>1</v>
      </c>
      <c r="AJ57" s="643"/>
      <c r="AK57" s="643"/>
      <c r="AL57" s="643"/>
      <c r="AM57" s="643"/>
      <c r="AN57" s="643"/>
    </row>
    <row r="58" spans="1:73" s="520" customFormat="1" ht="16.149999999999999" customHeight="1" x14ac:dyDescent="0.25">
      <c r="B58" s="745">
        <v>20</v>
      </c>
      <c r="C58" s="1035" t="s">
        <v>264</v>
      </c>
      <c r="D58" s="621"/>
      <c r="E58" s="622" t="str">
        <f>IF(D58="","",VLOOKUP(D58,'10. Condition and Temporal'!$B$6:$D$103,3,FALSE))</f>
        <v/>
      </c>
      <c r="F58" s="109"/>
      <c r="G58" s="108"/>
      <c r="H58" s="623"/>
      <c r="I58" s="107"/>
      <c r="J58" s="106"/>
      <c r="K58" s="106"/>
      <c r="L58" s="105" t="str">
        <f t="shared" si="9"/>
        <v/>
      </c>
      <c r="M58" s="104"/>
      <c r="N58" s="103"/>
      <c r="O58" s="561"/>
      <c r="P58" s="510"/>
      <c r="R58" s="410"/>
      <c r="T58" s="352" t="str">
        <f>IF(D58="","",VLOOKUP(D58,'9. All Habitats + Multipliers'!$C$4:$K$102,5,FALSE))</f>
        <v/>
      </c>
      <c r="U58" s="351"/>
      <c r="V58" s="585" t="str">
        <f>IF(T58="","",VLOOKUP(T58,'11. Lists'!$B$47:$D$49,2,FALSE))</f>
        <v/>
      </c>
      <c r="W58" s="584" t="str">
        <f t="shared" si="10"/>
        <v/>
      </c>
      <c r="X58" s="585" t="str">
        <f>IF(W58="","",VLOOKUP(W58,'11. Lists'!$F$47:$G$51,2,FALSE))</f>
        <v/>
      </c>
      <c r="Y58" s="852"/>
      <c r="Z58" s="823"/>
      <c r="AA58" s="985"/>
      <c r="AB58" s="584" t="str">
        <f t="shared" si="11"/>
        <v/>
      </c>
      <c r="AC58" s="586" t="str">
        <f>IF(AB58="","",VLOOKUP(AB58,'11. Lists'!$F$36:$H$38,2,FALSE))</f>
        <v/>
      </c>
      <c r="AD58" s="585" t="str">
        <f>IF(AB58="","",VLOOKUP(AB58,'11. Lists'!$F$36:$H$38,3,FALSE))</f>
        <v/>
      </c>
      <c r="AE58" s="584"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6" t="str">
        <f>IF(AE58="","",VLOOKUP(AE58,'11. Lists'!$I$47:$K$80,3,FALSE))</f>
        <v/>
      </c>
      <c r="AG58" s="584" t="str">
        <f>IF(D58="","",VLOOKUP(D58,'9. All Habitats + Multipliers'!$C$4:$K$102,7,FALSE))</f>
        <v/>
      </c>
      <c r="AH58" s="585" t="str">
        <f>IF(AG58="","",VLOOKUP(AG58,'11. Lists'!$J$35:$K$38,2,FALSE))</f>
        <v/>
      </c>
      <c r="AI58" s="961" t="str">
        <v>1</v>
      </c>
      <c r="AJ58" s="643"/>
      <c r="AK58" s="643"/>
      <c r="AL58" s="643"/>
      <c r="AM58" s="643"/>
      <c r="AN58" s="643"/>
    </row>
    <row r="59" spans="1:73" s="520" customFormat="1" ht="15" customHeight="1" x14ac:dyDescent="0.25">
      <c r="H59" s="749" t="s">
        <v>239</v>
      </c>
      <c r="I59" s="319">
        <f>SUM(I39:K58)</f>
        <v>0</v>
      </c>
      <c r="J59" s="318"/>
      <c r="K59" s="317"/>
      <c r="L59" s="170">
        <f>SUM(L39:N58)</f>
        <v>0</v>
      </c>
      <c r="M59" s="169"/>
      <c r="N59" s="168"/>
      <c r="R59" s="410"/>
      <c r="AJ59" s="643"/>
      <c r="AK59" s="643"/>
      <c r="AL59" s="643"/>
      <c r="AM59" s="643"/>
      <c r="AN59" s="643"/>
    </row>
    <row r="60" spans="1:73" s="520" customFormat="1" x14ac:dyDescent="0.25">
      <c r="R60" s="410"/>
      <c r="AJ60" s="643"/>
      <c r="AK60" s="643"/>
      <c r="AL60" s="643"/>
      <c r="AM60" s="643"/>
      <c r="AN60" s="643"/>
    </row>
    <row r="61" spans="1:73" s="520" customFormat="1" x14ac:dyDescent="0.25">
      <c r="R61" s="410"/>
      <c r="AJ61" s="643"/>
      <c r="AK61" s="643"/>
      <c r="AL61" s="643"/>
      <c r="AM61" s="643"/>
      <c r="AN61" s="643"/>
      <c r="BA61" s="536" t="s">
        <v>128</v>
      </c>
    </row>
    <row r="62" spans="1:73" s="520" customFormat="1" ht="21" customHeight="1" x14ac:dyDescent="0.35">
      <c r="B62" s="543" t="s">
        <v>129</v>
      </c>
      <c r="D62" s="574"/>
      <c r="H62" s="521"/>
      <c r="R62" s="410"/>
      <c r="AJ62" s="643"/>
      <c r="AK62" s="643"/>
      <c r="AL62" s="643"/>
      <c r="AM62" s="643"/>
      <c r="AN62" s="643"/>
      <c r="BA62" s="536" t="s">
        <v>130</v>
      </c>
    </row>
    <row r="63" spans="1:73" s="520" customFormat="1" ht="15" customHeight="1" x14ac:dyDescent="0.25">
      <c r="A63" s="167"/>
      <c r="R63" s="410"/>
      <c r="AJ63" s="643"/>
      <c r="AK63" s="643"/>
      <c r="AL63" s="643"/>
      <c r="AM63" s="643"/>
      <c r="AN63" s="643"/>
      <c r="BA63" s="102" t="s">
        <v>143</v>
      </c>
    </row>
    <row r="64" spans="1:73" s="520" customFormat="1" ht="16.149999999999999" customHeight="1" x14ac:dyDescent="0.25">
      <c r="A64" s="167"/>
      <c r="B64" s="310" t="s">
        <v>131</v>
      </c>
      <c r="C64" s="381" t="s">
        <v>132</v>
      </c>
      <c r="D64" s="379"/>
      <c r="E64" s="393" t="s">
        <v>267</v>
      </c>
      <c r="F64" s="392"/>
      <c r="G64" s="391"/>
      <c r="H64" s="308" t="s">
        <v>134</v>
      </c>
      <c r="I64" s="308" t="s">
        <v>268</v>
      </c>
      <c r="J64" s="295" t="s">
        <v>136</v>
      </c>
      <c r="K64" s="295"/>
      <c r="L64" s="381" t="s">
        <v>137</v>
      </c>
      <c r="M64" s="380" t="s">
        <v>138</v>
      </c>
      <c r="N64" s="379"/>
      <c r="O64" s="299" t="s">
        <v>80</v>
      </c>
      <c r="P64" s="374"/>
      <c r="R64" s="410"/>
      <c r="T64" s="298" t="s">
        <v>139</v>
      </c>
      <c r="U64" s="297"/>
      <c r="V64" s="297"/>
      <c r="W64" s="297"/>
      <c r="X64" s="297"/>
      <c r="Y64" s="297"/>
      <c r="Z64" s="297"/>
      <c r="AA64" s="297"/>
      <c r="AB64" s="297"/>
      <c r="AC64" s="297"/>
      <c r="AD64" s="296"/>
      <c r="AE64" s="308" t="s">
        <v>140</v>
      </c>
      <c r="AF64" s="298" t="s">
        <v>141</v>
      </c>
      <c r="AG64" s="297"/>
      <c r="AH64" s="297"/>
      <c r="AI64" s="297"/>
      <c r="AJ64" s="297"/>
      <c r="AK64" s="297"/>
      <c r="AL64" s="297"/>
      <c r="AM64" s="297"/>
      <c r="AN64" s="297"/>
      <c r="AO64" s="297"/>
      <c r="AP64" s="296"/>
      <c r="AQ64" s="306" t="s">
        <v>142</v>
      </c>
      <c r="AR64" s="298" t="s">
        <v>141</v>
      </c>
      <c r="AS64" s="297"/>
      <c r="AT64" s="297"/>
      <c r="AU64" s="297"/>
      <c r="AV64" s="296"/>
      <c r="BA64" s="102"/>
      <c r="BB64" s="1024">
        <f t="shared" ref="BB64:BU64" si="12">COUNTIF(BB66:BB85,"?*")</f>
        <v>0</v>
      </c>
      <c r="BC64" s="670">
        <f t="shared" si="12"/>
        <v>0</v>
      </c>
      <c r="BD64" s="670">
        <f t="shared" si="12"/>
        <v>0</v>
      </c>
      <c r="BE64" s="670">
        <f t="shared" si="12"/>
        <v>0</v>
      </c>
      <c r="BF64" s="670">
        <f t="shared" si="12"/>
        <v>0</v>
      </c>
      <c r="BG64" s="670">
        <f t="shared" si="12"/>
        <v>0</v>
      </c>
      <c r="BH64" s="670">
        <f t="shared" si="12"/>
        <v>0</v>
      </c>
      <c r="BI64" s="670">
        <f t="shared" si="12"/>
        <v>0</v>
      </c>
      <c r="BJ64" s="670">
        <f t="shared" si="12"/>
        <v>0</v>
      </c>
      <c r="BK64" s="670">
        <f t="shared" si="12"/>
        <v>0</v>
      </c>
      <c r="BL64" s="670">
        <f t="shared" si="12"/>
        <v>0</v>
      </c>
      <c r="BM64" s="670">
        <f t="shared" si="12"/>
        <v>0</v>
      </c>
      <c r="BN64" s="670">
        <f t="shared" si="12"/>
        <v>0</v>
      </c>
      <c r="BO64" s="670">
        <f t="shared" si="12"/>
        <v>0</v>
      </c>
      <c r="BP64" s="670">
        <f t="shared" si="12"/>
        <v>0</v>
      </c>
      <c r="BQ64" s="670">
        <f t="shared" si="12"/>
        <v>0</v>
      </c>
      <c r="BR64" s="670">
        <f t="shared" si="12"/>
        <v>0</v>
      </c>
      <c r="BS64" s="670">
        <f t="shared" si="12"/>
        <v>0</v>
      </c>
      <c r="BT64" s="670">
        <f t="shared" si="12"/>
        <v>0</v>
      </c>
      <c r="BU64" s="670">
        <f t="shared" si="12"/>
        <v>0</v>
      </c>
    </row>
    <row r="65" spans="1:76" s="520" customFormat="1" ht="45.6" customHeight="1" x14ac:dyDescent="0.25">
      <c r="A65" s="167"/>
      <c r="B65" s="101"/>
      <c r="C65" s="903" t="s">
        <v>144</v>
      </c>
      <c r="D65" s="873" t="s">
        <v>145</v>
      </c>
      <c r="E65" s="871" t="s">
        <v>146</v>
      </c>
      <c r="F65" s="93" t="s">
        <v>147</v>
      </c>
      <c r="G65" s="92"/>
      <c r="H65" s="100"/>
      <c r="I65" s="100"/>
      <c r="J65" s="99"/>
      <c r="K65" s="99"/>
      <c r="L65" s="98"/>
      <c r="M65" s="97"/>
      <c r="N65" s="96"/>
      <c r="O65" s="874" t="s">
        <v>95</v>
      </c>
      <c r="P65" s="873" t="s">
        <v>96</v>
      </c>
      <c r="R65" s="410"/>
      <c r="T65" s="661" t="s">
        <v>148</v>
      </c>
      <c r="U65" s="597" t="s">
        <v>149</v>
      </c>
      <c r="V65" s="598" t="s">
        <v>150</v>
      </c>
      <c r="W65" s="848" t="s">
        <v>151</v>
      </c>
      <c r="X65" s="837" t="s">
        <v>152</v>
      </c>
      <c r="Y65" s="846"/>
      <c r="Z65" s="846"/>
      <c r="AA65" s="846"/>
      <c r="AB65" s="838" t="s">
        <v>153</v>
      </c>
      <c r="AC65" s="847" t="s">
        <v>154</v>
      </c>
      <c r="AD65" s="598" t="s">
        <v>155</v>
      </c>
      <c r="AE65" s="95"/>
      <c r="AF65" s="813" t="s">
        <v>148</v>
      </c>
      <c r="AG65" s="831" t="s">
        <v>97</v>
      </c>
      <c r="AH65" s="830" t="s">
        <v>98</v>
      </c>
      <c r="AI65" s="831" t="s">
        <v>99</v>
      </c>
      <c r="AJ65" s="945" t="s">
        <v>98</v>
      </c>
      <c r="AK65" s="946"/>
      <c r="AL65" s="946"/>
      <c r="AM65" s="946"/>
      <c r="AN65" s="945" t="s">
        <v>83</v>
      </c>
      <c r="AO65" s="833" t="s">
        <v>83</v>
      </c>
      <c r="AP65" s="830" t="s">
        <v>100</v>
      </c>
      <c r="AQ65" s="94"/>
      <c r="AR65" s="830" t="s">
        <v>156</v>
      </c>
      <c r="AS65" s="831" t="s">
        <v>157</v>
      </c>
      <c r="AT65" s="830" t="s">
        <v>158</v>
      </c>
      <c r="AU65" s="832" t="s">
        <v>159</v>
      </c>
      <c r="AV65" s="830" t="s">
        <v>160</v>
      </c>
      <c r="AW65" s="666" t="s">
        <v>161</v>
      </c>
      <c r="AX65" s="958" t="s">
        <v>162</v>
      </c>
      <c r="AY65" s="959" t="s">
        <v>269</v>
      </c>
      <c r="BA65" s="569" t="s">
        <v>164</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165</v>
      </c>
      <c r="BW65" s="654" t="s">
        <v>166</v>
      </c>
      <c r="BX65" s="654" t="s">
        <v>167</v>
      </c>
    </row>
    <row r="66" spans="1:76" s="520" customFormat="1" ht="15.6" customHeight="1" x14ac:dyDescent="0.25">
      <c r="B66" s="750">
        <v>1</v>
      </c>
      <c r="C66" s="893" t="str">
        <f t="shared" ref="C66:C85" si="13">IF(D66="","",C11)</f>
        <v/>
      </c>
      <c r="D66" s="894" t="str">
        <f t="shared" ref="D66:D85" si="14">IF(OR(K11="", K11=0),"",D11)</f>
        <v/>
      </c>
      <c r="E66" s="895" t="str">
        <f t="shared" ref="E66:E85" si="15">IF(AX66="","",AX66)</f>
        <v/>
      </c>
      <c r="F66" s="205"/>
      <c r="G66" s="204"/>
      <c r="H66" s="896" t="str">
        <f t="shared" ref="H66:H85" si="16">IF(D66="","",AB66)</f>
        <v/>
      </c>
      <c r="I66" s="901" t="str">
        <f t="shared" ref="I66:I85" si="17">IF(OR(K11="",K11=0),"",K11)</f>
        <v/>
      </c>
      <c r="J66" s="91" t="str">
        <f>IF(F66="","",VLOOKUP(F66,'10. Condition and Temporal'!$B$6:$F$103,5,FALSE))</f>
        <v/>
      </c>
      <c r="K66" s="90"/>
      <c r="L66" s="775" t="str">
        <f t="shared" ref="L66:L85" si="18">IFERROR(IF(D66="","",IF(AX66="Distinctiveness",(((((I66*AH66*AJ66*AY66)-(I66*V66*X66))*(AV66*AT66))+(I66*V66*X66))*AP66)/1000,((((I66*AH66*AJ66*AY66)-(I66*V66*X66*AJ11))*(AV66*AR66))+(I66*V66*X66*AJ11))*AP66/1000)),"This intervention is not permitted within the SSM ▲")</f>
        <v/>
      </c>
      <c r="M66" s="184" t="str">
        <f t="shared" ref="M66:M85" si="19">IFERROR(IF(F66="","",L66-AD66), "Error ▲")</f>
        <v/>
      </c>
      <c r="N66" s="183"/>
      <c r="O66" s="697"/>
      <c r="P66" s="628"/>
      <c r="R66" s="410"/>
      <c r="T66" s="662" t="str">
        <f t="shared" ref="T66:T85" si="20">IF(D66="","",K11)</f>
        <v/>
      </c>
      <c r="U66" s="600" t="str">
        <f t="shared" ref="U66:U85" si="21">IF($D66="","",T11)</f>
        <v/>
      </c>
      <c r="V66" s="601" t="str">
        <f t="shared" ref="V66:X85" si="22">IF($D66="","",V11)</f>
        <v/>
      </c>
      <c r="W66" s="599" t="str">
        <f t="shared" si="22"/>
        <v/>
      </c>
      <c r="X66" s="579" t="str">
        <f t="shared" si="22"/>
        <v/>
      </c>
      <c r="Y66" s="823"/>
      <c r="Z66" s="823"/>
      <c r="AA66" s="823"/>
      <c r="AB66" s="580" t="str">
        <f t="shared" ref="AB66:AB85" si="23">IF($D66="","",AB11)</f>
        <v/>
      </c>
      <c r="AC66" s="603" t="str">
        <f t="shared" ref="AC66:AC85" si="24">IF($D66="","",AD11)</f>
        <v/>
      </c>
      <c r="AD66" s="601" t="str">
        <f t="shared" ref="AD66:AD85" si="25">IF(AC66="","",((T66*V66*X66)*AC66*AJ11)/1000)</f>
        <v/>
      </c>
      <c r="AE66" s="664" t="str">
        <f t="shared" ref="AE66:AE85" si="26">IF(AD66="","",IF(AH66&lt;V66,"Not Acceptable","Acceptable"))</f>
        <v/>
      </c>
      <c r="AF66" s="599" t="str">
        <f t="shared" ref="AF66:AF85" si="27">IF(D66="","",I66)</f>
        <v/>
      </c>
      <c r="AG66" s="600" t="str">
        <f>IF(D66="","",VLOOKUP(F66,'9. All Habitats + Multipliers'!$C$4:$K$102,5,FALSE))</f>
        <v/>
      </c>
      <c r="AH66" s="601" t="str">
        <f>IF(AG66="","",VLOOKUP(AG66,'11. Lists'!$B$47:$D$49,2,FALSE))</f>
        <v/>
      </c>
      <c r="AI66" s="600" t="str">
        <f t="shared" ref="AI66:AI85" si="28">IF(D66="","",J66)</f>
        <v/>
      </c>
      <c r="AJ66" s="955" t="str">
        <f>IF(AI66="","",VLOOKUP(AI66,'11. Lists'!$F$47:$G$51,2,FALSE))</f>
        <v/>
      </c>
      <c r="AK66" s="956"/>
      <c r="AL66" s="956"/>
      <c r="AM66" s="956"/>
      <c r="AN66" s="955" t="str">
        <f t="shared" ref="AN66:AN85" si="29">IF(H66="","",H66)</f>
        <v/>
      </c>
      <c r="AO66" s="602"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937" t="str">
        <f t="shared" ref="AX66:AX85" si="30">IF(F66="","",IF(D66=F66,"Condition","Distinctiveness"))</f>
        <v/>
      </c>
      <c r="AY66" s="960" t="str" cm="1">
        <f t="array" ref="AY66:AZ85">IF($F$66:$G$85="Culvert","0.68","1")</f>
        <v>1</v>
      </c>
      <c r="AZ66" s="957" t="str">
        <v>1</v>
      </c>
      <c r="BA66" s="579">
        <v>1</v>
      </c>
      <c r="BB66" s="581" t="str">
        <f t="shared" ref="BB66:BB85" si="31">TRIM(MID(SUBSTITUTE($AW$66,$BA$62,REPT(" ",LEN($AW$66))),($BA66-1)*LEN($AW$66)+1,LEN($AW$66)))</f>
        <v/>
      </c>
      <c r="BC66" s="581" t="str">
        <f t="shared" ref="BC66:BC85" si="32">TRIM(MID(SUBSTITUTE($AW$67,$BA$62,REPT(" ",LEN($AW$67))),($BA66-1)*LEN($AW$67)+1,LEN($AW$67)))</f>
        <v/>
      </c>
      <c r="BD66" s="581" t="str">
        <f t="shared" ref="BD66:BD85" si="33">TRIM(MID(SUBSTITUTE($AW$68,$BA$62,REPT(" ",LEN($AW$68))),($BA66-1)*LEN($AW$68)+1,LEN($AW$68)))</f>
        <v/>
      </c>
      <c r="BE66" s="581" t="str">
        <f t="shared" ref="BE66:BE85" si="34">TRIM(MID(SUBSTITUTE($AW$69,$BA$62,REPT(" ",LEN($AW$69))),($BA66-1)*LEN($AW$69)+1,LEN($AW$69)))</f>
        <v/>
      </c>
      <c r="BF66" s="581" t="str">
        <f t="shared" ref="BF66:BF85" si="35">TRIM(MID(SUBSTITUTE($AW$70,$BA$62,REPT(" ",LEN($AW$70))),($BA66-1)*LEN($AW$70)+1,LEN($AW$70)))</f>
        <v/>
      </c>
      <c r="BG66" s="581" t="str">
        <f t="shared" ref="BG66:BG85" si="36">TRIM(MID(SUBSTITUTE($AW$71,$BA$62,REPT(" ",LEN($AW$71))),($BA66-1)*LEN($AW$71)+1,LEN($AW$71)))</f>
        <v/>
      </c>
      <c r="BH66" s="581" t="str">
        <f t="shared" ref="BH66:BH85" si="37">TRIM(MID(SUBSTITUTE($AW$72,$BA$62,REPT(" ",LEN($AW$72))),($BA66-1)*LEN($AW$72)+1,LEN($AW$72)))</f>
        <v/>
      </c>
      <c r="BI66" s="581" t="str">
        <f t="shared" ref="BI66:BI85" si="38">TRIM(MID(SUBSTITUTE($AW$73,$BA$62,REPT(" ",LEN($AW$73))),($BA66-1)*LEN($AW$73)+1,LEN($AW$73)))</f>
        <v/>
      </c>
      <c r="BJ66" s="581" t="str">
        <f t="shared" ref="BJ66:BJ85" si="39">TRIM(MID(SUBSTITUTE($AW$74,$BA$62,REPT(" ",LEN($AW$74))),($BA66-1)*LEN($AW$74)+1,LEN($AW$74)))</f>
        <v/>
      </c>
      <c r="BK66" s="581" t="str">
        <f t="shared" ref="BK66:BK85" si="40">TRIM(MID(SUBSTITUTE($AW$75,$BA$62,REPT(" ",LEN($AW$75))),($BA66-1)*LEN($AW$75)+1,LEN($AW$75)))</f>
        <v/>
      </c>
      <c r="BL66" s="581" t="str">
        <f t="shared" ref="BL66:BL85" si="41">TRIM(MID(SUBSTITUTE($AW$76,$BA$62,REPT(" ",LEN($AW$76))),($BA66-1)*LEN($AW$76)+1,LEN($AW$76)))</f>
        <v/>
      </c>
      <c r="BM66" s="581" t="str">
        <f t="shared" ref="BM66:BM85" si="42">TRIM(MID(SUBSTITUTE($AW$77,$BA$62,REPT(" ",LEN($AW$77))),($BA66-1)*LEN($AW$77)+1,LEN($AW$77)))</f>
        <v/>
      </c>
      <c r="BN66" s="581" t="str">
        <f t="shared" ref="BN66:BN85" si="43">TRIM(MID(SUBSTITUTE($AW$78,$BA$62,REPT(" ",LEN($AW$78))),($BA66-1)*LEN($AW$78)+1,LEN($AW$78)))</f>
        <v/>
      </c>
      <c r="BO66" s="581" t="str">
        <f t="shared" ref="BO66:BO85" si="44">TRIM(MID(SUBSTITUTE($AW$79,$BA$62,REPT(" ",LEN($AW$79))),($BA66-1)*LEN($AW$79)+1,LEN($AW$79)))</f>
        <v/>
      </c>
      <c r="BP66" s="581" t="str">
        <f t="shared" ref="BP66:BP85" si="45">TRIM(MID(SUBSTITUTE($AW$80,$BA$62,REPT(" ",LEN($AW$80))),($BA66-1)*LEN($AW$80)+1,LEN($AW$80)))</f>
        <v/>
      </c>
      <c r="BQ66" s="581" t="str">
        <f t="shared" ref="BQ66:BQ85" si="46">TRIM(MID(SUBSTITUTE($AW$81,$BA$62,REPT(" ",LEN($AW$81))),($BA66-1)*LEN($AW$81)+1,LEN($AW$81)))</f>
        <v/>
      </c>
      <c r="BR66" s="581" t="str">
        <f t="shared" ref="BR66:BR85" si="47">TRIM(MID(SUBSTITUTE($AW$82,$BA$62,REPT(" ",LEN($AW$82))),($BA66-1)*LEN($AW$82)+1,LEN($AW$82)))</f>
        <v/>
      </c>
      <c r="BS66" s="581" t="str">
        <f t="shared" ref="BS66:BS85" si="48">TRIM(MID(SUBSTITUTE($AW$83,$BA$62,REPT(" ",LEN($AW$83))),($BA66-1)*LEN($AW$83)+1,LEN($AW$83)))</f>
        <v/>
      </c>
      <c r="BT66" s="581" t="str">
        <f t="shared" ref="BT66:BT85" si="49">TRIM(MID(SUBSTITUTE($AW$84,$BA$62,REPT(" ",LEN($AW$84))),($BA66-1)*LEN($AW$84)+1,LEN($AW$84)))</f>
        <v/>
      </c>
      <c r="BU66" s="580" t="str">
        <f t="shared" ref="BU66:BU85" si="50">TRIM(MID(SUBSTITUTE($AW$85,$BA$62,REPT(" ",LEN($AW$85))),($BA66-1)*LEN($AW$85)+1,LEN($AW$85)))</f>
        <v/>
      </c>
      <c r="BV66" s="669" t="str">
        <f t="shared" ref="BV66:BV85" si="51">IF(BX66=0,"",CONCATENATE(BW66,"66:",BW66,BX66+65))</f>
        <v/>
      </c>
      <c r="BW66" s="581" t="s">
        <v>168</v>
      </c>
      <c r="BX66" s="581">
        <f>BB64</f>
        <v>0</v>
      </c>
    </row>
    <row r="67" spans="1:76" s="520" customFormat="1" ht="15.6" customHeight="1" x14ac:dyDescent="0.25">
      <c r="B67" s="744">
        <v>2</v>
      </c>
      <c r="C67" s="605" t="str">
        <f t="shared" si="13"/>
        <v/>
      </c>
      <c r="D67" s="688" t="str">
        <f t="shared" si="14"/>
        <v/>
      </c>
      <c r="E67" s="651" t="str">
        <f t="shared" si="15"/>
        <v/>
      </c>
      <c r="F67" s="290"/>
      <c r="G67" s="289"/>
      <c r="H67" s="648" t="str">
        <f t="shared" si="16"/>
        <v/>
      </c>
      <c r="I67" s="797" t="str">
        <f t="shared" si="17"/>
        <v/>
      </c>
      <c r="J67" s="89" t="str">
        <f>IF(F67="","",VLOOKUP(F67,'10. Condition and Temporal'!$B$6:$F$103,5,FALSE))</f>
        <v/>
      </c>
      <c r="K67" s="88"/>
      <c r="L67" s="774" t="str">
        <f t="shared" si="18"/>
        <v/>
      </c>
      <c r="M67" s="113" t="str">
        <f t="shared" si="19"/>
        <v/>
      </c>
      <c r="N67" s="112"/>
      <c r="O67" s="560"/>
      <c r="P67" s="508"/>
      <c r="R67" s="410"/>
      <c r="T67" s="662" t="str">
        <f t="shared" si="20"/>
        <v/>
      </c>
      <c r="U67" s="600" t="str">
        <f t="shared" si="21"/>
        <v/>
      </c>
      <c r="V67" s="601" t="str">
        <f t="shared" si="22"/>
        <v/>
      </c>
      <c r="W67" s="599" t="str">
        <f t="shared" si="22"/>
        <v/>
      </c>
      <c r="X67" s="579" t="str">
        <f t="shared" si="22"/>
        <v/>
      </c>
      <c r="Y67" s="823"/>
      <c r="Z67" s="823"/>
      <c r="AA67" s="823"/>
      <c r="AB67" s="580" t="str">
        <f t="shared" si="23"/>
        <v/>
      </c>
      <c r="AC67" s="603" t="str">
        <f t="shared" si="24"/>
        <v/>
      </c>
      <c r="AD67" s="601" t="str">
        <f t="shared" si="25"/>
        <v/>
      </c>
      <c r="AE67" s="664" t="str">
        <f t="shared" si="26"/>
        <v/>
      </c>
      <c r="AF67" s="599" t="str">
        <f t="shared" si="27"/>
        <v/>
      </c>
      <c r="AG67" s="600" t="str">
        <f>IF(D67="","",VLOOKUP(F67,'9. All Habitats + Multipliers'!$C$4:$K$102,5,FALSE))</f>
        <v/>
      </c>
      <c r="AH67" s="601" t="str">
        <f>IF(AG67="","",VLOOKUP(AG67,'11. Lists'!$B$47:$D$49,2,FALSE))</f>
        <v/>
      </c>
      <c r="AI67" s="600" t="str">
        <f t="shared" si="28"/>
        <v/>
      </c>
      <c r="AJ67" s="955" t="str">
        <f>IF(AI67="","",VLOOKUP(AI67,'11. Lists'!$F$47:$G$51,2,FALSE))</f>
        <v/>
      </c>
      <c r="AK67" s="956"/>
      <c r="AL67" s="956"/>
      <c r="AM67" s="956"/>
      <c r="AN67" s="955" t="str">
        <f t="shared" si="29"/>
        <v/>
      </c>
      <c r="AO67" s="602"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937" t="str">
        <f t="shared" si="30"/>
        <v/>
      </c>
      <c r="AY67" s="960" t="str">
        <v>1</v>
      </c>
      <c r="AZ67" s="957" t="str">
        <v>1</v>
      </c>
      <c r="BA67" s="579">
        <v>2</v>
      </c>
      <c r="BB67" s="581" t="str">
        <f t="shared" si="31"/>
        <v/>
      </c>
      <c r="BC67" s="581" t="str">
        <f t="shared" si="32"/>
        <v/>
      </c>
      <c r="BD67" s="581" t="str">
        <f t="shared" si="33"/>
        <v/>
      </c>
      <c r="BE67" s="581" t="str">
        <f t="shared" si="34"/>
        <v/>
      </c>
      <c r="BF67" s="581" t="str">
        <f t="shared" si="35"/>
        <v/>
      </c>
      <c r="BG67" s="581" t="str">
        <f t="shared" si="36"/>
        <v/>
      </c>
      <c r="BH67" s="581" t="str">
        <f t="shared" si="37"/>
        <v/>
      </c>
      <c r="BI67" s="581" t="str">
        <f t="shared" si="38"/>
        <v/>
      </c>
      <c r="BJ67" s="581" t="str">
        <f t="shared" si="39"/>
        <v/>
      </c>
      <c r="BK67" s="581" t="str">
        <f t="shared" si="40"/>
        <v/>
      </c>
      <c r="BL67" s="581" t="str">
        <f t="shared" si="41"/>
        <v/>
      </c>
      <c r="BM67" s="581" t="str">
        <f t="shared" si="42"/>
        <v/>
      </c>
      <c r="BN67" s="581" t="str">
        <f t="shared" si="43"/>
        <v/>
      </c>
      <c r="BO67" s="581" t="str">
        <f t="shared" si="44"/>
        <v/>
      </c>
      <c r="BP67" s="581" t="str">
        <f t="shared" si="45"/>
        <v/>
      </c>
      <c r="BQ67" s="581" t="str">
        <f t="shared" si="46"/>
        <v/>
      </c>
      <c r="BR67" s="581" t="str">
        <f t="shared" si="47"/>
        <v/>
      </c>
      <c r="BS67" s="581" t="str">
        <f t="shared" si="48"/>
        <v/>
      </c>
      <c r="BT67" s="581" t="str">
        <f t="shared" si="49"/>
        <v/>
      </c>
      <c r="BU67" s="580" t="str">
        <f t="shared" si="50"/>
        <v/>
      </c>
      <c r="BV67" s="669" t="str">
        <f t="shared" si="51"/>
        <v/>
      </c>
      <c r="BW67" s="581" t="s">
        <v>169</v>
      </c>
      <c r="BX67" s="581">
        <f>BC64</f>
        <v>0</v>
      </c>
    </row>
    <row r="68" spans="1:76" s="520" customFormat="1" ht="15.6" customHeight="1" x14ac:dyDescent="0.25">
      <c r="B68" s="744">
        <v>3</v>
      </c>
      <c r="C68" s="605" t="str">
        <f t="shared" si="13"/>
        <v/>
      </c>
      <c r="D68" s="688" t="str">
        <f t="shared" si="14"/>
        <v/>
      </c>
      <c r="E68" s="651" t="str">
        <f t="shared" si="15"/>
        <v/>
      </c>
      <c r="F68" s="290"/>
      <c r="G68" s="289"/>
      <c r="H68" s="648" t="str">
        <f t="shared" si="16"/>
        <v/>
      </c>
      <c r="I68" s="797" t="str">
        <f t="shared" si="17"/>
        <v/>
      </c>
      <c r="J68" s="89" t="str">
        <f>IF(F68="","",VLOOKUP(F68,'10. Condition and Temporal'!$B$6:$F$103,5,FALSE))</f>
        <v/>
      </c>
      <c r="K68" s="88"/>
      <c r="L68" s="774" t="str">
        <f t="shared" si="18"/>
        <v/>
      </c>
      <c r="M68" s="113" t="str">
        <f t="shared" si="19"/>
        <v/>
      </c>
      <c r="N68" s="112"/>
      <c r="O68" s="560"/>
      <c r="P68" s="508"/>
      <c r="R68" s="410"/>
      <c r="T68" s="662" t="str">
        <f t="shared" si="20"/>
        <v/>
      </c>
      <c r="U68" s="600" t="str">
        <f t="shared" si="21"/>
        <v/>
      </c>
      <c r="V68" s="601" t="str">
        <f t="shared" si="22"/>
        <v/>
      </c>
      <c r="W68" s="599" t="str">
        <f t="shared" si="22"/>
        <v/>
      </c>
      <c r="X68" s="579" t="str">
        <f t="shared" si="22"/>
        <v/>
      </c>
      <c r="Y68" s="823"/>
      <c r="Z68" s="823"/>
      <c r="AA68" s="823"/>
      <c r="AB68" s="580" t="str">
        <f t="shared" si="23"/>
        <v/>
      </c>
      <c r="AC68" s="603" t="str">
        <f t="shared" si="24"/>
        <v/>
      </c>
      <c r="AD68" s="601" t="str">
        <f t="shared" si="25"/>
        <v/>
      </c>
      <c r="AE68" s="664" t="str">
        <f t="shared" si="26"/>
        <v/>
      </c>
      <c r="AF68" s="599" t="str">
        <f t="shared" si="27"/>
        <v/>
      </c>
      <c r="AG68" s="600" t="str">
        <f>IF(D68="","",VLOOKUP(F68,'9. All Habitats + Multipliers'!$C$4:$K$102,5,FALSE))</f>
        <v/>
      </c>
      <c r="AH68" s="601" t="str">
        <f>IF(AG68="","",VLOOKUP(AG68,'11. Lists'!$B$47:$D$49,2,FALSE))</f>
        <v/>
      </c>
      <c r="AI68" s="600" t="str">
        <f t="shared" si="28"/>
        <v/>
      </c>
      <c r="AJ68" s="955" t="str">
        <f>IF(AI68="","",VLOOKUP(AI68,'11. Lists'!$F$47:$G$51,2,FALSE))</f>
        <v/>
      </c>
      <c r="AK68" s="956"/>
      <c r="AL68" s="956"/>
      <c r="AM68" s="956"/>
      <c r="AN68" s="955" t="str">
        <f t="shared" si="29"/>
        <v/>
      </c>
      <c r="AO68" s="602"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937" t="str">
        <f t="shared" si="30"/>
        <v/>
      </c>
      <c r="AY68" s="960" t="str">
        <v>1</v>
      </c>
      <c r="AZ68" s="957" t="str">
        <v>1</v>
      </c>
      <c r="BA68" s="579">
        <v>3</v>
      </c>
      <c r="BB68" s="581" t="str">
        <f t="shared" si="31"/>
        <v/>
      </c>
      <c r="BC68" s="581" t="str">
        <f t="shared" si="32"/>
        <v/>
      </c>
      <c r="BD68" s="581" t="str">
        <f t="shared" si="33"/>
        <v/>
      </c>
      <c r="BE68" s="581" t="str">
        <f t="shared" si="34"/>
        <v/>
      </c>
      <c r="BF68" s="581" t="str">
        <f t="shared" si="35"/>
        <v/>
      </c>
      <c r="BG68" s="581" t="str">
        <f t="shared" si="36"/>
        <v/>
      </c>
      <c r="BH68" s="581" t="str">
        <f t="shared" si="37"/>
        <v/>
      </c>
      <c r="BI68" s="581" t="str">
        <f t="shared" si="38"/>
        <v/>
      </c>
      <c r="BJ68" s="581" t="str">
        <f t="shared" si="39"/>
        <v/>
      </c>
      <c r="BK68" s="581" t="str">
        <f t="shared" si="40"/>
        <v/>
      </c>
      <c r="BL68" s="581" t="str">
        <f t="shared" si="41"/>
        <v/>
      </c>
      <c r="BM68" s="581" t="str">
        <f t="shared" si="42"/>
        <v/>
      </c>
      <c r="BN68" s="581" t="str">
        <f t="shared" si="43"/>
        <v/>
      </c>
      <c r="BO68" s="581" t="str">
        <f t="shared" si="44"/>
        <v/>
      </c>
      <c r="BP68" s="581" t="str">
        <f t="shared" si="45"/>
        <v/>
      </c>
      <c r="BQ68" s="581" t="str">
        <f t="shared" si="46"/>
        <v/>
      </c>
      <c r="BR68" s="581" t="str">
        <f t="shared" si="47"/>
        <v/>
      </c>
      <c r="BS68" s="581" t="str">
        <f t="shared" si="48"/>
        <v/>
      </c>
      <c r="BT68" s="581" t="str">
        <f t="shared" si="49"/>
        <v/>
      </c>
      <c r="BU68" s="580" t="str">
        <f t="shared" si="50"/>
        <v/>
      </c>
      <c r="BV68" s="669" t="str">
        <f t="shared" si="51"/>
        <v/>
      </c>
      <c r="BW68" s="581" t="s">
        <v>170</v>
      </c>
      <c r="BX68" s="581">
        <f>BD64</f>
        <v>0</v>
      </c>
    </row>
    <row r="69" spans="1:76" s="520" customFormat="1" ht="15.6" customHeight="1" x14ac:dyDescent="0.25">
      <c r="B69" s="744">
        <v>4</v>
      </c>
      <c r="C69" s="605" t="str">
        <f t="shared" si="13"/>
        <v/>
      </c>
      <c r="D69" s="688" t="str">
        <f t="shared" si="14"/>
        <v/>
      </c>
      <c r="E69" s="651" t="str">
        <f t="shared" si="15"/>
        <v/>
      </c>
      <c r="F69" s="290"/>
      <c r="G69" s="289"/>
      <c r="H69" s="648" t="str">
        <f t="shared" si="16"/>
        <v/>
      </c>
      <c r="I69" s="797" t="str">
        <f t="shared" si="17"/>
        <v/>
      </c>
      <c r="J69" s="89" t="str">
        <f>IF(F69="","",VLOOKUP(F69,'10. Condition and Temporal'!$B$6:$F$103,5,FALSE))</f>
        <v/>
      </c>
      <c r="K69" s="88"/>
      <c r="L69" s="774" t="str">
        <f t="shared" si="18"/>
        <v/>
      </c>
      <c r="M69" s="113" t="str">
        <f t="shared" si="19"/>
        <v/>
      </c>
      <c r="N69" s="112"/>
      <c r="O69" s="560"/>
      <c r="P69" s="508"/>
      <c r="R69" s="410"/>
      <c r="T69" s="662" t="str">
        <f t="shared" si="20"/>
        <v/>
      </c>
      <c r="U69" s="600" t="str">
        <f t="shared" si="21"/>
        <v/>
      </c>
      <c r="V69" s="601" t="str">
        <f t="shared" si="22"/>
        <v/>
      </c>
      <c r="W69" s="599" t="str">
        <f t="shared" si="22"/>
        <v/>
      </c>
      <c r="X69" s="579" t="str">
        <f t="shared" si="22"/>
        <v/>
      </c>
      <c r="Y69" s="823"/>
      <c r="Z69" s="823"/>
      <c r="AA69" s="823"/>
      <c r="AB69" s="580" t="str">
        <f t="shared" si="23"/>
        <v/>
      </c>
      <c r="AC69" s="603" t="str">
        <f t="shared" si="24"/>
        <v/>
      </c>
      <c r="AD69" s="601" t="str">
        <f t="shared" si="25"/>
        <v/>
      </c>
      <c r="AE69" s="664" t="str">
        <f t="shared" si="26"/>
        <v/>
      </c>
      <c r="AF69" s="599" t="str">
        <f t="shared" si="27"/>
        <v/>
      </c>
      <c r="AG69" s="600" t="str">
        <f>IF(D69="","",VLOOKUP(F69,'9. All Habitats + Multipliers'!$C$4:$K$102,5,FALSE))</f>
        <v/>
      </c>
      <c r="AH69" s="601" t="str">
        <f>IF(AG69="","",VLOOKUP(AG69,'11. Lists'!$B$47:$D$49,2,FALSE))</f>
        <v/>
      </c>
      <c r="AI69" s="600" t="str">
        <f t="shared" si="28"/>
        <v/>
      </c>
      <c r="AJ69" s="955" t="str">
        <f>IF(AI69="","",VLOOKUP(AI69,'11. Lists'!$F$47:$G$51,2,FALSE))</f>
        <v/>
      </c>
      <c r="AK69" s="956"/>
      <c r="AL69" s="956"/>
      <c r="AM69" s="956"/>
      <c r="AN69" s="955" t="str">
        <f t="shared" si="29"/>
        <v/>
      </c>
      <c r="AO69" s="602"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937" t="str">
        <f t="shared" si="30"/>
        <v/>
      </c>
      <c r="AY69" s="960" t="str">
        <v>1</v>
      </c>
      <c r="AZ69" s="957" t="str">
        <v>1</v>
      </c>
      <c r="BA69" s="579">
        <v>4</v>
      </c>
      <c r="BB69" s="581" t="str">
        <f t="shared" si="31"/>
        <v/>
      </c>
      <c r="BC69" s="581" t="str">
        <f t="shared" si="32"/>
        <v/>
      </c>
      <c r="BD69" s="581" t="str">
        <f t="shared" si="33"/>
        <v/>
      </c>
      <c r="BE69" s="581" t="str">
        <f t="shared" si="34"/>
        <v/>
      </c>
      <c r="BF69" s="581" t="str">
        <f t="shared" si="35"/>
        <v/>
      </c>
      <c r="BG69" s="581" t="str">
        <f t="shared" si="36"/>
        <v/>
      </c>
      <c r="BH69" s="581" t="str">
        <f t="shared" si="37"/>
        <v/>
      </c>
      <c r="BI69" s="581" t="str">
        <f t="shared" si="38"/>
        <v/>
      </c>
      <c r="BJ69" s="581" t="str">
        <f t="shared" si="39"/>
        <v/>
      </c>
      <c r="BK69" s="581" t="str">
        <f t="shared" si="40"/>
        <v/>
      </c>
      <c r="BL69" s="581" t="str">
        <f t="shared" si="41"/>
        <v/>
      </c>
      <c r="BM69" s="581" t="str">
        <f t="shared" si="42"/>
        <v/>
      </c>
      <c r="BN69" s="581" t="str">
        <f t="shared" si="43"/>
        <v/>
      </c>
      <c r="BO69" s="581" t="str">
        <f t="shared" si="44"/>
        <v/>
      </c>
      <c r="BP69" s="581" t="str">
        <f t="shared" si="45"/>
        <v/>
      </c>
      <c r="BQ69" s="581" t="str">
        <f t="shared" si="46"/>
        <v/>
      </c>
      <c r="BR69" s="581" t="str">
        <f t="shared" si="47"/>
        <v/>
      </c>
      <c r="BS69" s="581" t="str">
        <f t="shared" si="48"/>
        <v/>
      </c>
      <c r="BT69" s="581" t="str">
        <f t="shared" si="49"/>
        <v/>
      </c>
      <c r="BU69" s="580" t="str">
        <f t="shared" si="50"/>
        <v/>
      </c>
      <c r="BV69" s="669" t="str">
        <f t="shared" si="51"/>
        <v/>
      </c>
      <c r="BW69" s="581" t="s">
        <v>171</v>
      </c>
      <c r="BX69" s="581">
        <f>BE64</f>
        <v>0</v>
      </c>
    </row>
    <row r="70" spans="1:76" s="520" customFormat="1" ht="15.75" customHeight="1" x14ac:dyDescent="0.25">
      <c r="B70" s="744">
        <v>5</v>
      </c>
      <c r="C70" s="605" t="str">
        <f t="shared" si="13"/>
        <v/>
      </c>
      <c r="D70" s="688" t="str">
        <f t="shared" si="14"/>
        <v/>
      </c>
      <c r="E70" s="651" t="str">
        <f t="shared" si="15"/>
        <v/>
      </c>
      <c r="F70" s="290"/>
      <c r="G70" s="289"/>
      <c r="H70" s="648" t="str">
        <f t="shared" si="16"/>
        <v/>
      </c>
      <c r="I70" s="797" t="str">
        <f t="shared" si="17"/>
        <v/>
      </c>
      <c r="J70" s="89" t="str">
        <f>IF(F70="","",VLOOKUP(F70,'10. Condition and Temporal'!$B$6:$F$103,5,FALSE))</f>
        <v/>
      </c>
      <c r="K70" s="88"/>
      <c r="L70" s="774" t="str">
        <f t="shared" si="18"/>
        <v/>
      </c>
      <c r="M70" s="113" t="str">
        <f t="shared" si="19"/>
        <v/>
      </c>
      <c r="N70" s="112"/>
      <c r="O70" s="560"/>
      <c r="P70" s="508"/>
      <c r="R70" s="410"/>
      <c r="T70" s="662" t="str">
        <f t="shared" si="20"/>
        <v/>
      </c>
      <c r="U70" s="600" t="str">
        <f t="shared" si="21"/>
        <v/>
      </c>
      <c r="V70" s="601" t="str">
        <f t="shared" si="22"/>
        <v/>
      </c>
      <c r="W70" s="599" t="str">
        <f t="shared" si="22"/>
        <v/>
      </c>
      <c r="X70" s="579" t="str">
        <f t="shared" si="22"/>
        <v/>
      </c>
      <c r="Y70" s="823"/>
      <c r="Z70" s="823"/>
      <c r="AA70" s="823"/>
      <c r="AB70" s="580" t="str">
        <f t="shared" si="23"/>
        <v/>
      </c>
      <c r="AC70" s="603" t="str">
        <f t="shared" si="24"/>
        <v/>
      </c>
      <c r="AD70" s="601" t="str">
        <f t="shared" si="25"/>
        <v/>
      </c>
      <c r="AE70" s="664" t="str">
        <f t="shared" si="26"/>
        <v/>
      </c>
      <c r="AF70" s="599" t="str">
        <f t="shared" si="27"/>
        <v/>
      </c>
      <c r="AG70" s="600" t="str">
        <f>IF(D70="","",VLOOKUP(F70,'9. All Habitats + Multipliers'!$C$4:$K$102,5,FALSE))</f>
        <v/>
      </c>
      <c r="AH70" s="601" t="str">
        <f>IF(AG70="","",VLOOKUP(AG70,'11. Lists'!$B$47:$D$49,2,FALSE))</f>
        <v/>
      </c>
      <c r="AI70" s="600" t="str">
        <f t="shared" si="28"/>
        <v/>
      </c>
      <c r="AJ70" s="955" t="str">
        <f>IF(AI70="","",VLOOKUP(AI70,'11. Lists'!$F$47:$G$51,2,FALSE))</f>
        <v/>
      </c>
      <c r="AK70" s="956"/>
      <c r="AL70" s="956"/>
      <c r="AM70" s="956"/>
      <c r="AN70" s="955" t="str">
        <f t="shared" si="29"/>
        <v/>
      </c>
      <c r="AO70" s="602"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937" t="str">
        <f t="shared" si="30"/>
        <v/>
      </c>
      <c r="AY70" s="960" t="str">
        <v>1</v>
      </c>
      <c r="AZ70" s="957" t="str">
        <v>1</v>
      </c>
      <c r="BA70" s="579">
        <v>5</v>
      </c>
      <c r="BB70" s="581" t="str">
        <f t="shared" si="31"/>
        <v/>
      </c>
      <c r="BC70" s="581" t="str">
        <f t="shared" si="32"/>
        <v/>
      </c>
      <c r="BD70" s="581" t="str">
        <f t="shared" si="33"/>
        <v/>
      </c>
      <c r="BE70" s="581" t="str">
        <f t="shared" si="34"/>
        <v/>
      </c>
      <c r="BF70" s="581" t="str">
        <f t="shared" si="35"/>
        <v/>
      </c>
      <c r="BG70" s="581" t="str">
        <f t="shared" si="36"/>
        <v/>
      </c>
      <c r="BH70" s="581" t="str">
        <f t="shared" si="37"/>
        <v/>
      </c>
      <c r="BI70" s="581" t="str">
        <f t="shared" si="38"/>
        <v/>
      </c>
      <c r="BJ70" s="581" t="str">
        <f t="shared" si="39"/>
        <v/>
      </c>
      <c r="BK70" s="581" t="str">
        <f t="shared" si="40"/>
        <v/>
      </c>
      <c r="BL70" s="581" t="str">
        <f t="shared" si="41"/>
        <v/>
      </c>
      <c r="BM70" s="581" t="str">
        <f t="shared" si="42"/>
        <v/>
      </c>
      <c r="BN70" s="581" t="str">
        <f t="shared" si="43"/>
        <v/>
      </c>
      <c r="BO70" s="581" t="str">
        <f t="shared" si="44"/>
        <v/>
      </c>
      <c r="BP70" s="581" t="str">
        <f t="shared" si="45"/>
        <v/>
      </c>
      <c r="BQ70" s="581" t="str">
        <f t="shared" si="46"/>
        <v/>
      </c>
      <c r="BR70" s="581" t="str">
        <f t="shared" si="47"/>
        <v/>
      </c>
      <c r="BS70" s="581" t="str">
        <f t="shared" si="48"/>
        <v/>
      </c>
      <c r="BT70" s="581" t="str">
        <f t="shared" si="49"/>
        <v/>
      </c>
      <c r="BU70" s="580" t="str">
        <f t="shared" si="50"/>
        <v/>
      </c>
      <c r="BV70" s="669" t="str">
        <f t="shared" si="51"/>
        <v/>
      </c>
      <c r="BW70" s="581" t="s">
        <v>172</v>
      </c>
      <c r="BX70" s="581">
        <f>BF64</f>
        <v>0</v>
      </c>
    </row>
    <row r="71" spans="1:76" s="520" customFormat="1" ht="15.75" customHeight="1" x14ac:dyDescent="0.25">
      <c r="B71" s="744">
        <v>6</v>
      </c>
      <c r="C71" s="605" t="str">
        <f t="shared" si="13"/>
        <v/>
      </c>
      <c r="D71" s="688" t="str">
        <f t="shared" si="14"/>
        <v/>
      </c>
      <c r="E71" s="651" t="str">
        <f t="shared" si="15"/>
        <v/>
      </c>
      <c r="F71" s="290"/>
      <c r="G71" s="289"/>
      <c r="H71" s="648" t="str">
        <f t="shared" si="16"/>
        <v/>
      </c>
      <c r="I71" s="797" t="str">
        <f t="shared" si="17"/>
        <v/>
      </c>
      <c r="J71" s="89" t="str">
        <f>IF(F71="","",VLOOKUP(F71,'10. Condition and Temporal'!$B$6:$F$103,5,FALSE))</f>
        <v/>
      </c>
      <c r="K71" s="88"/>
      <c r="L71" s="774" t="str">
        <f t="shared" si="18"/>
        <v/>
      </c>
      <c r="M71" s="113" t="str">
        <f t="shared" si="19"/>
        <v/>
      </c>
      <c r="N71" s="112"/>
      <c r="O71" s="560"/>
      <c r="P71" s="508"/>
      <c r="R71" s="410"/>
      <c r="T71" s="662" t="str">
        <f t="shared" si="20"/>
        <v/>
      </c>
      <c r="U71" s="600" t="str">
        <f t="shared" si="21"/>
        <v/>
      </c>
      <c r="V71" s="601" t="str">
        <f t="shared" si="22"/>
        <v/>
      </c>
      <c r="W71" s="599" t="str">
        <f t="shared" si="22"/>
        <v/>
      </c>
      <c r="X71" s="579" t="str">
        <f t="shared" si="22"/>
        <v/>
      </c>
      <c r="Y71" s="823"/>
      <c r="Z71" s="823"/>
      <c r="AA71" s="823"/>
      <c r="AB71" s="580" t="str">
        <f t="shared" si="23"/>
        <v/>
      </c>
      <c r="AC71" s="603" t="str">
        <f t="shared" si="24"/>
        <v/>
      </c>
      <c r="AD71" s="601" t="str">
        <f t="shared" si="25"/>
        <v/>
      </c>
      <c r="AE71" s="664" t="str">
        <f t="shared" si="26"/>
        <v/>
      </c>
      <c r="AF71" s="599" t="str">
        <f t="shared" si="27"/>
        <v/>
      </c>
      <c r="AG71" s="600" t="str">
        <f>IF(D71="","",VLOOKUP(F71,'9. All Habitats + Multipliers'!$C$4:$K$102,5,FALSE))</f>
        <v/>
      </c>
      <c r="AH71" s="601" t="str">
        <f>IF(AG71="","",VLOOKUP(AG71,'11. Lists'!$B$47:$D$49,2,FALSE))</f>
        <v/>
      </c>
      <c r="AI71" s="600" t="str">
        <f t="shared" si="28"/>
        <v/>
      </c>
      <c r="AJ71" s="955" t="str">
        <f>IF(AI71="","",VLOOKUP(AI71,'11. Lists'!$F$47:$G$51,2,FALSE))</f>
        <v/>
      </c>
      <c r="AK71" s="956"/>
      <c r="AL71" s="956"/>
      <c r="AM71" s="956"/>
      <c r="AN71" s="955" t="str">
        <f t="shared" si="29"/>
        <v/>
      </c>
      <c r="AO71" s="602"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937" t="str">
        <f t="shared" si="30"/>
        <v/>
      </c>
      <c r="AY71" s="960" t="str">
        <v>1</v>
      </c>
      <c r="AZ71" s="957" t="str">
        <v>1</v>
      </c>
      <c r="BA71" s="579">
        <v>6</v>
      </c>
      <c r="BB71" s="581" t="str">
        <f t="shared" si="31"/>
        <v/>
      </c>
      <c r="BC71" s="581" t="str">
        <f t="shared" si="32"/>
        <v/>
      </c>
      <c r="BD71" s="581" t="str">
        <f t="shared" si="33"/>
        <v/>
      </c>
      <c r="BE71" s="581" t="str">
        <f t="shared" si="34"/>
        <v/>
      </c>
      <c r="BF71" s="581" t="str">
        <f t="shared" si="35"/>
        <v/>
      </c>
      <c r="BG71" s="581" t="str">
        <f t="shared" si="36"/>
        <v/>
      </c>
      <c r="BH71" s="581" t="str">
        <f t="shared" si="37"/>
        <v/>
      </c>
      <c r="BI71" s="581" t="str">
        <f t="shared" si="38"/>
        <v/>
      </c>
      <c r="BJ71" s="581" t="str">
        <f t="shared" si="39"/>
        <v/>
      </c>
      <c r="BK71" s="581" t="str">
        <f t="shared" si="40"/>
        <v/>
      </c>
      <c r="BL71" s="581" t="str">
        <f t="shared" si="41"/>
        <v/>
      </c>
      <c r="BM71" s="581" t="str">
        <f t="shared" si="42"/>
        <v/>
      </c>
      <c r="BN71" s="581" t="str">
        <f t="shared" si="43"/>
        <v/>
      </c>
      <c r="BO71" s="581" t="str">
        <f t="shared" si="44"/>
        <v/>
      </c>
      <c r="BP71" s="581" t="str">
        <f t="shared" si="45"/>
        <v/>
      </c>
      <c r="BQ71" s="581" t="str">
        <f t="shared" si="46"/>
        <v/>
      </c>
      <c r="BR71" s="581" t="str">
        <f t="shared" si="47"/>
        <v/>
      </c>
      <c r="BS71" s="581" t="str">
        <f t="shared" si="48"/>
        <v/>
      </c>
      <c r="BT71" s="581" t="str">
        <f t="shared" si="49"/>
        <v/>
      </c>
      <c r="BU71" s="580" t="str">
        <f t="shared" si="50"/>
        <v/>
      </c>
      <c r="BV71" s="669" t="str">
        <f t="shared" si="51"/>
        <v/>
      </c>
      <c r="BW71" s="581" t="s">
        <v>173</v>
      </c>
      <c r="BX71" s="581">
        <f>BG64</f>
        <v>0</v>
      </c>
    </row>
    <row r="72" spans="1:76" s="520" customFormat="1" ht="15.75" customHeight="1" x14ac:dyDescent="0.25">
      <c r="B72" s="744">
        <v>7</v>
      </c>
      <c r="C72" s="605" t="str">
        <f t="shared" si="13"/>
        <v/>
      </c>
      <c r="D72" s="688" t="str">
        <f t="shared" si="14"/>
        <v/>
      </c>
      <c r="E72" s="651" t="str">
        <f t="shared" si="15"/>
        <v/>
      </c>
      <c r="F72" s="290"/>
      <c r="G72" s="289"/>
      <c r="H72" s="648" t="str">
        <f t="shared" si="16"/>
        <v/>
      </c>
      <c r="I72" s="797" t="str">
        <f t="shared" si="17"/>
        <v/>
      </c>
      <c r="J72" s="89" t="str">
        <f>IF(F72="","",VLOOKUP(F72,'10. Condition and Temporal'!$B$6:$F$103,5,FALSE))</f>
        <v/>
      </c>
      <c r="K72" s="88"/>
      <c r="L72" s="774" t="str">
        <f t="shared" si="18"/>
        <v/>
      </c>
      <c r="M72" s="113" t="str">
        <f t="shared" si="19"/>
        <v/>
      </c>
      <c r="N72" s="112"/>
      <c r="O72" s="560"/>
      <c r="P72" s="508"/>
      <c r="R72" s="410"/>
      <c r="T72" s="662" t="str">
        <f t="shared" si="20"/>
        <v/>
      </c>
      <c r="U72" s="600" t="str">
        <f t="shared" si="21"/>
        <v/>
      </c>
      <c r="V72" s="601" t="str">
        <f t="shared" si="22"/>
        <v/>
      </c>
      <c r="W72" s="599" t="str">
        <f t="shared" si="22"/>
        <v/>
      </c>
      <c r="X72" s="579" t="str">
        <f t="shared" si="22"/>
        <v/>
      </c>
      <c r="Y72" s="823"/>
      <c r="Z72" s="823"/>
      <c r="AA72" s="823"/>
      <c r="AB72" s="580" t="str">
        <f t="shared" si="23"/>
        <v/>
      </c>
      <c r="AC72" s="603" t="str">
        <f t="shared" si="24"/>
        <v/>
      </c>
      <c r="AD72" s="601" t="str">
        <f t="shared" si="25"/>
        <v/>
      </c>
      <c r="AE72" s="664" t="str">
        <f t="shared" si="26"/>
        <v/>
      </c>
      <c r="AF72" s="599" t="str">
        <f t="shared" si="27"/>
        <v/>
      </c>
      <c r="AG72" s="600" t="str">
        <f>IF(D72="","",VLOOKUP(F72,'9. All Habitats + Multipliers'!$C$4:$K$102,5,FALSE))</f>
        <v/>
      </c>
      <c r="AH72" s="601" t="str">
        <f>IF(AG72="","",VLOOKUP(AG72,'11. Lists'!$B$47:$D$49,2,FALSE))</f>
        <v/>
      </c>
      <c r="AI72" s="600" t="str">
        <f t="shared" si="28"/>
        <v/>
      </c>
      <c r="AJ72" s="955" t="str">
        <f>IF(AI72="","",VLOOKUP(AI72,'11. Lists'!$F$47:$G$51,2,FALSE))</f>
        <v/>
      </c>
      <c r="AK72" s="956"/>
      <c r="AL72" s="956"/>
      <c r="AM72" s="956"/>
      <c r="AN72" s="955" t="str">
        <f t="shared" si="29"/>
        <v/>
      </c>
      <c r="AO72" s="602"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937" t="str">
        <f t="shared" si="30"/>
        <v/>
      </c>
      <c r="AY72" s="960" t="str">
        <v>1</v>
      </c>
      <c r="AZ72" s="957" t="str">
        <v>1</v>
      </c>
      <c r="BA72" s="579">
        <v>7</v>
      </c>
      <c r="BB72" s="581" t="str">
        <f t="shared" si="31"/>
        <v/>
      </c>
      <c r="BC72" s="581" t="str">
        <f t="shared" si="32"/>
        <v/>
      </c>
      <c r="BD72" s="581" t="str">
        <f t="shared" si="33"/>
        <v/>
      </c>
      <c r="BE72" s="581" t="str">
        <f t="shared" si="34"/>
        <v/>
      </c>
      <c r="BF72" s="581" t="str">
        <f t="shared" si="35"/>
        <v/>
      </c>
      <c r="BG72" s="581" t="str">
        <f t="shared" si="36"/>
        <v/>
      </c>
      <c r="BH72" s="581" t="str">
        <f t="shared" si="37"/>
        <v/>
      </c>
      <c r="BI72" s="581" t="str">
        <f t="shared" si="38"/>
        <v/>
      </c>
      <c r="BJ72" s="581" t="str">
        <f t="shared" si="39"/>
        <v/>
      </c>
      <c r="BK72" s="581" t="str">
        <f t="shared" si="40"/>
        <v/>
      </c>
      <c r="BL72" s="581" t="str">
        <f t="shared" si="41"/>
        <v/>
      </c>
      <c r="BM72" s="581" t="str">
        <f t="shared" si="42"/>
        <v/>
      </c>
      <c r="BN72" s="581" t="str">
        <f t="shared" si="43"/>
        <v/>
      </c>
      <c r="BO72" s="581" t="str">
        <f t="shared" si="44"/>
        <v/>
      </c>
      <c r="BP72" s="581" t="str">
        <f t="shared" si="45"/>
        <v/>
      </c>
      <c r="BQ72" s="581" t="str">
        <f t="shared" si="46"/>
        <v/>
      </c>
      <c r="BR72" s="581" t="str">
        <f t="shared" si="47"/>
        <v/>
      </c>
      <c r="BS72" s="581" t="str">
        <f t="shared" si="48"/>
        <v/>
      </c>
      <c r="BT72" s="581" t="str">
        <f t="shared" si="49"/>
        <v/>
      </c>
      <c r="BU72" s="580" t="str">
        <f t="shared" si="50"/>
        <v/>
      </c>
      <c r="BV72" s="669" t="str">
        <f t="shared" si="51"/>
        <v/>
      </c>
      <c r="BW72" s="581" t="s">
        <v>174</v>
      </c>
      <c r="BX72" s="581">
        <f>BH64</f>
        <v>0</v>
      </c>
    </row>
    <row r="73" spans="1:76" s="520" customFormat="1" ht="15.6" customHeight="1" x14ac:dyDescent="0.25">
      <c r="B73" s="744">
        <v>8</v>
      </c>
      <c r="C73" s="605" t="str">
        <f t="shared" si="13"/>
        <v/>
      </c>
      <c r="D73" s="688" t="str">
        <f t="shared" si="14"/>
        <v/>
      </c>
      <c r="E73" s="651" t="str">
        <f t="shared" si="15"/>
        <v/>
      </c>
      <c r="F73" s="290"/>
      <c r="G73" s="289"/>
      <c r="H73" s="648" t="str">
        <f t="shared" si="16"/>
        <v/>
      </c>
      <c r="I73" s="797" t="str">
        <f t="shared" si="17"/>
        <v/>
      </c>
      <c r="J73" s="89" t="str">
        <f>IF(F73="","",VLOOKUP(F73,'10. Condition and Temporal'!$B$6:$F$103,5,FALSE))</f>
        <v/>
      </c>
      <c r="K73" s="88"/>
      <c r="L73" s="774" t="str">
        <f t="shared" si="18"/>
        <v/>
      </c>
      <c r="M73" s="113" t="str">
        <f t="shared" si="19"/>
        <v/>
      </c>
      <c r="N73" s="112"/>
      <c r="O73" s="560"/>
      <c r="P73" s="508"/>
      <c r="R73" s="410"/>
      <c r="T73" s="662" t="str">
        <f t="shared" si="20"/>
        <v/>
      </c>
      <c r="U73" s="600" t="str">
        <f t="shared" si="21"/>
        <v/>
      </c>
      <c r="V73" s="601" t="str">
        <f t="shared" si="22"/>
        <v/>
      </c>
      <c r="W73" s="599" t="str">
        <f t="shared" si="22"/>
        <v/>
      </c>
      <c r="X73" s="579" t="str">
        <f t="shared" si="22"/>
        <v/>
      </c>
      <c r="Y73" s="823"/>
      <c r="Z73" s="823"/>
      <c r="AA73" s="823"/>
      <c r="AB73" s="580" t="str">
        <f t="shared" si="23"/>
        <v/>
      </c>
      <c r="AC73" s="603" t="str">
        <f t="shared" si="24"/>
        <v/>
      </c>
      <c r="AD73" s="601" t="str">
        <f t="shared" si="25"/>
        <v/>
      </c>
      <c r="AE73" s="664" t="str">
        <f t="shared" si="26"/>
        <v/>
      </c>
      <c r="AF73" s="599" t="str">
        <f t="shared" si="27"/>
        <v/>
      </c>
      <c r="AG73" s="600" t="str">
        <f>IF(D73="","",VLOOKUP(F73,'9. All Habitats + Multipliers'!$C$4:$K$102,5,FALSE))</f>
        <v/>
      </c>
      <c r="AH73" s="601" t="str">
        <f>IF(AG73="","",VLOOKUP(AG73,'11. Lists'!$B$47:$D$49,2,FALSE))</f>
        <v/>
      </c>
      <c r="AI73" s="600" t="str">
        <f t="shared" si="28"/>
        <v/>
      </c>
      <c r="AJ73" s="955" t="str">
        <f>IF(AI73="","",VLOOKUP(AI73,'11. Lists'!$F$47:$G$51,2,FALSE))</f>
        <v/>
      </c>
      <c r="AK73" s="956"/>
      <c r="AL73" s="956"/>
      <c r="AM73" s="956"/>
      <c r="AN73" s="955" t="str">
        <f t="shared" si="29"/>
        <v/>
      </c>
      <c r="AO73" s="602"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937" t="str">
        <f t="shared" si="30"/>
        <v/>
      </c>
      <c r="AY73" s="960" t="str">
        <v>1</v>
      </c>
      <c r="AZ73" s="957" t="str">
        <v>1</v>
      </c>
      <c r="BA73" s="579">
        <v>8</v>
      </c>
      <c r="BB73" s="581" t="str">
        <f t="shared" si="31"/>
        <v/>
      </c>
      <c r="BC73" s="581" t="str">
        <f t="shared" si="32"/>
        <v/>
      </c>
      <c r="BD73" s="581" t="str">
        <f t="shared" si="33"/>
        <v/>
      </c>
      <c r="BE73" s="581" t="str">
        <f t="shared" si="34"/>
        <v/>
      </c>
      <c r="BF73" s="581" t="str">
        <f t="shared" si="35"/>
        <v/>
      </c>
      <c r="BG73" s="581" t="str">
        <f t="shared" si="36"/>
        <v/>
      </c>
      <c r="BH73" s="581" t="str">
        <f t="shared" si="37"/>
        <v/>
      </c>
      <c r="BI73" s="581" t="str">
        <f t="shared" si="38"/>
        <v/>
      </c>
      <c r="BJ73" s="581" t="str">
        <f t="shared" si="39"/>
        <v/>
      </c>
      <c r="BK73" s="581" t="str">
        <f t="shared" si="40"/>
        <v/>
      </c>
      <c r="BL73" s="581" t="str">
        <f t="shared" si="41"/>
        <v/>
      </c>
      <c r="BM73" s="581" t="str">
        <f t="shared" si="42"/>
        <v/>
      </c>
      <c r="BN73" s="581" t="str">
        <f t="shared" si="43"/>
        <v/>
      </c>
      <c r="BO73" s="581" t="str">
        <f t="shared" si="44"/>
        <v/>
      </c>
      <c r="BP73" s="581" t="str">
        <f t="shared" si="45"/>
        <v/>
      </c>
      <c r="BQ73" s="581" t="str">
        <f t="shared" si="46"/>
        <v/>
      </c>
      <c r="BR73" s="581" t="str">
        <f t="shared" si="47"/>
        <v/>
      </c>
      <c r="BS73" s="581" t="str">
        <f t="shared" si="48"/>
        <v/>
      </c>
      <c r="BT73" s="581" t="str">
        <f t="shared" si="49"/>
        <v/>
      </c>
      <c r="BU73" s="580" t="str">
        <f t="shared" si="50"/>
        <v/>
      </c>
      <c r="BV73" s="669" t="str">
        <f t="shared" si="51"/>
        <v/>
      </c>
      <c r="BW73" s="581" t="s">
        <v>175</v>
      </c>
      <c r="BX73" s="581">
        <f>BI64</f>
        <v>0</v>
      </c>
    </row>
    <row r="74" spans="1:76" s="520" customFormat="1" ht="15.75" customHeight="1" x14ac:dyDescent="0.25">
      <c r="B74" s="744">
        <v>9</v>
      </c>
      <c r="C74" s="605" t="str">
        <f t="shared" si="13"/>
        <v/>
      </c>
      <c r="D74" s="688" t="str">
        <f t="shared" si="14"/>
        <v/>
      </c>
      <c r="E74" s="651" t="str">
        <f t="shared" si="15"/>
        <v/>
      </c>
      <c r="F74" s="290"/>
      <c r="G74" s="289"/>
      <c r="H74" s="648" t="str">
        <f t="shared" si="16"/>
        <v/>
      </c>
      <c r="I74" s="797" t="str">
        <f t="shared" si="17"/>
        <v/>
      </c>
      <c r="J74" s="89" t="str">
        <f>IF(F74="","",VLOOKUP(F74,'10. Condition and Temporal'!$B$6:$F$103,5,FALSE))</f>
        <v/>
      </c>
      <c r="K74" s="88"/>
      <c r="L74" s="774" t="str">
        <f t="shared" si="18"/>
        <v/>
      </c>
      <c r="M74" s="113" t="str">
        <f t="shared" si="19"/>
        <v/>
      </c>
      <c r="N74" s="112"/>
      <c r="O74" s="560"/>
      <c r="P74" s="508"/>
      <c r="R74" s="410"/>
      <c r="T74" s="662" t="str">
        <f t="shared" si="20"/>
        <v/>
      </c>
      <c r="U74" s="600" t="str">
        <f t="shared" si="21"/>
        <v/>
      </c>
      <c r="V74" s="601" t="str">
        <f t="shared" si="22"/>
        <v/>
      </c>
      <c r="W74" s="599" t="str">
        <f t="shared" si="22"/>
        <v/>
      </c>
      <c r="X74" s="579" t="str">
        <f t="shared" si="22"/>
        <v/>
      </c>
      <c r="Y74" s="823"/>
      <c r="Z74" s="823"/>
      <c r="AA74" s="823"/>
      <c r="AB74" s="580" t="str">
        <f t="shared" si="23"/>
        <v/>
      </c>
      <c r="AC74" s="603" t="str">
        <f t="shared" si="24"/>
        <v/>
      </c>
      <c r="AD74" s="601" t="str">
        <f t="shared" si="25"/>
        <v/>
      </c>
      <c r="AE74" s="664" t="str">
        <f t="shared" si="26"/>
        <v/>
      </c>
      <c r="AF74" s="599" t="str">
        <f t="shared" si="27"/>
        <v/>
      </c>
      <c r="AG74" s="600" t="str">
        <f>IF(D74="","",VLOOKUP(F74,'9. All Habitats + Multipliers'!$C$4:$K$102,5,FALSE))</f>
        <v/>
      </c>
      <c r="AH74" s="601" t="str">
        <f>IF(AG74="","",VLOOKUP(AG74,'11. Lists'!$B$47:$D$49,2,FALSE))</f>
        <v/>
      </c>
      <c r="AI74" s="600" t="str">
        <f t="shared" si="28"/>
        <v/>
      </c>
      <c r="AJ74" s="955" t="str">
        <f>IF(AI74="","",VLOOKUP(AI74,'11. Lists'!$F$47:$G$51,2,FALSE))</f>
        <v/>
      </c>
      <c r="AK74" s="956"/>
      <c r="AL74" s="956"/>
      <c r="AM74" s="956"/>
      <c r="AN74" s="955" t="str">
        <f t="shared" si="29"/>
        <v/>
      </c>
      <c r="AO74" s="602"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937" t="str">
        <f t="shared" si="30"/>
        <v/>
      </c>
      <c r="AY74" s="960" t="str">
        <v>1</v>
      </c>
      <c r="AZ74" s="957" t="str">
        <v>1</v>
      </c>
      <c r="BA74" s="579">
        <v>9</v>
      </c>
      <c r="BB74" s="581" t="str">
        <f t="shared" si="31"/>
        <v/>
      </c>
      <c r="BC74" s="581" t="str">
        <f t="shared" si="32"/>
        <v/>
      </c>
      <c r="BD74" s="581" t="str">
        <f t="shared" si="33"/>
        <v/>
      </c>
      <c r="BE74" s="581" t="str">
        <f t="shared" si="34"/>
        <v/>
      </c>
      <c r="BF74" s="581" t="str">
        <f t="shared" si="35"/>
        <v/>
      </c>
      <c r="BG74" s="581" t="str">
        <f t="shared" si="36"/>
        <v/>
      </c>
      <c r="BH74" s="581" t="str">
        <f t="shared" si="37"/>
        <v/>
      </c>
      <c r="BI74" s="581" t="str">
        <f t="shared" si="38"/>
        <v/>
      </c>
      <c r="BJ74" s="581" t="str">
        <f t="shared" si="39"/>
        <v/>
      </c>
      <c r="BK74" s="581" t="str">
        <f t="shared" si="40"/>
        <v/>
      </c>
      <c r="BL74" s="581" t="str">
        <f t="shared" si="41"/>
        <v/>
      </c>
      <c r="BM74" s="581" t="str">
        <f t="shared" si="42"/>
        <v/>
      </c>
      <c r="BN74" s="581" t="str">
        <f t="shared" si="43"/>
        <v/>
      </c>
      <c r="BO74" s="581" t="str">
        <f t="shared" si="44"/>
        <v/>
      </c>
      <c r="BP74" s="581" t="str">
        <f t="shared" si="45"/>
        <v/>
      </c>
      <c r="BQ74" s="581" t="str">
        <f t="shared" si="46"/>
        <v/>
      </c>
      <c r="BR74" s="581" t="str">
        <f t="shared" si="47"/>
        <v/>
      </c>
      <c r="BS74" s="581" t="str">
        <f t="shared" si="48"/>
        <v/>
      </c>
      <c r="BT74" s="581" t="str">
        <f t="shared" si="49"/>
        <v/>
      </c>
      <c r="BU74" s="580" t="str">
        <f t="shared" si="50"/>
        <v/>
      </c>
      <c r="BV74" s="669" t="str">
        <f t="shared" si="51"/>
        <v/>
      </c>
      <c r="BW74" s="581" t="s">
        <v>176</v>
      </c>
      <c r="BX74" s="581">
        <f>BJ64</f>
        <v>0</v>
      </c>
    </row>
    <row r="75" spans="1:76" s="520" customFormat="1" ht="15.75" customHeight="1" x14ac:dyDescent="0.25">
      <c r="B75" s="744">
        <v>10</v>
      </c>
      <c r="C75" s="605" t="str">
        <f t="shared" si="13"/>
        <v/>
      </c>
      <c r="D75" s="688" t="str">
        <f t="shared" si="14"/>
        <v/>
      </c>
      <c r="E75" s="651" t="str">
        <f t="shared" si="15"/>
        <v/>
      </c>
      <c r="F75" s="290"/>
      <c r="G75" s="289"/>
      <c r="H75" s="648" t="str">
        <f t="shared" si="16"/>
        <v/>
      </c>
      <c r="I75" s="797" t="str">
        <f t="shared" si="17"/>
        <v/>
      </c>
      <c r="J75" s="89" t="str">
        <f>IF(F75="","",VLOOKUP(F75,'10. Condition and Temporal'!$B$6:$F$103,5,FALSE))</f>
        <v/>
      </c>
      <c r="K75" s="88"/>
      <c r="L75" s="774" t="str">
        <f t="shared" si="18"/>
        <v/>
      </c>
      <c r="M75" s="113" t="str">
        <f t="shared" si="19"/>
        <v/>
      </c>
      <c r="N75" s="112"/>
      <c r="O75" s="560"/>
      <c r="P75" s="508"/>
      <c r="R75" s="410"/>
      <c r="T75" s="662" t="str">
        <f t="shared" si="20"/>
        <v/>
      </c>
      <c r="U75" s="600" t="str">
        <f t="shared" si="21"/>
        <v/>
      </c>
      <c r="V75" s="601" t="str">
        <f t="shared" si="22"/>
        <v/>
      </c>
      <c r="W75" s="599" t="str">
        <f t="shared" si="22"/>
        <v/>
      </c>
      <c r="X75" s="579" t="str">
        <f t="shared" si="22"/>
        <v/>
      </c>
      <c r="Y75" s="823"/>
      <c r="Z75" s="823"/>
      <c r="AA75" s="823"/>
      <c r="AB75" s="580" t="str">
        <f t="shared" si="23"/>
        <v/>
      </c>
      <c r="AC75" s="603" t="str">
        <f t="shared" si="24"/>
        <v/>
      </c>
      <c r="AD75" s="601" t="str">
        <f t="shared" si="25"/>
        <v/>
      </c>
      <c r="AE75" s="664" t="str">
        <f t="shared" si="26"/>
        <v/>
      </c>
      <c r="AF75" s="599" t="str">
        <f t="shared" si="27"/>
        <v/>
      </c>
      <c r="AG75" s="600" t="str">
        <f>IF(D75="","",VLOOKUP(F75,'9. All Habitats + Multipliers'!$C$4:$K$102,5,FALSE))</f>
        <v/>
      </c>
      <c r="AH75" s="601" t="str">
        <f>IF(AG75="","",VLOOKUP(AG75,'11. Lists'!$B$47:$D$49,2,FALSE))</f>
        <v/>
      </c>
      <c r="AI75" s="600" t="str">
        <f t="shared" si="28"/>
        <v/>
      </c>
      <c r="AJ75" s="955" t="str">
        <f>IF(AI75="","",VLOOKUP(AI75,'11. Lists'!$F$47:$G$51,2,FALSE))</f>
        <v/>
      </c>
      <c r="AK75" s="956"/>
      <c r="AL75" s="956"/>
      <c r="AM75" s="956"/>
      <c r="AN75" s="955" t="str">
        <f t="shared" si="29"/>
        <v/>
      </c>
      <c r="AO75" s="602"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937" t="str">
        <f t="shared" si="30"/>
        <v/>
      </c>
      <c r="AY75" s="960" t="str">
        <v>1</v>
      </c>
      <c r="AZ75" s="957" t="str">
        <v>1</v>
      </c>
      <c r="BA75" s="579">
        <v>10</v>
      </c>
      <c r="BB75" s="581" t="str">
        <f t="shared" si="31"/>
        <v/>
      </c>
      <c r="BC75" s="581" t="str">
        <f t="shared" si="32"/>
        <v/>
      </c>
      <c r="BD75" s="581" t="str">
        <f t="shared" si="33"/>
        <v/>
      </c>
      <c r="BE75" s="581" t="str">
        <f t="shared" si="34"/>
        <v/>
      </c>
      <c r="BF75" s="581" t="str">
        <f t="shared" si="35"/>
        <v/>
      </c>
      <c r="BG75" s="581" t="str">
        <f t="shared" si="36"/>
        <v/>
      </c>
      <c r="BH75" s="581" t="str">
        <f t="shared" si="37"/>
        <v/>
      </c>
      <c r="BI75" s="581" t="str">
        <f t="shared" si="38"/>
        <v/>
      </c>
      <c r="BJ75" s="581" t="str">
        <f t="shared" si="39"/>
        <v/>
      </c>
      <c r="BK75" s="581" t="str">
        <f t="shared" si="40"/>
        <v/>
      </c>
      <c r="BL75" s="581" t="str">
        <f t="shared" si="41"/>
        <v/>
      </c>
      <c r="BM75" s="581" t="str">
        <f t="shared" si="42"/>
        <v/>
      </c>
      <c r="BN75" s="581" t="str">
        <f t="shared" si="43"/>
        <v/>
      </c>
      <c r="BO75" s="581" t="str">
        <f t="shared" si="44"/>
        <v/>
      </c>
      <c r="BP75" s="581" t="str">
        <f t="shared" si="45"/>
        <v/>
      </c>
      <c r="BQ75" s="581" t="str">
        <f t="shared" si="46"/>
        <v/>
      </c>
      <c r="BR75" s="581" t="str">
        <f t="shared" si="47"/>
        <v/>
      </c>
      <c r="BS75" s="581" t="str">
        <f t="shared" si="48"/>
        <v/>
      </c>
      <c r="BT75" s="581" t="str">
        <f t="shared" si="49"/>
        <v/>
      </c>
      <c r="BU75" s="580" t="str">
        <f t="shared" si="50"/>
        <v/>
      </c>
      <c r="BV75" s="669" t="str">
        <f t="shared" si="51"/>
        <v/>
      </c>
      <c r="BW75" s="581" t="s">
        <v>177</v>
      </c>
      <c r="BX75" s="581">
        <f>BK64</f>
        <v>0</v>
      </c>
    </row>
    <row r="76" spans="1:76" s="520" customFormat="1" ht="15.6" customHeight="1" x14ac:dyDescent="0.25">
      <c r="B76" s="744">
        <v>11</v>
      </c>
      <c r="C76" s="605" t="str">
        <f t="shared" si="13"/>
        <v/>
      </c>
      <c r="D76" s="688" t="str">
        <f t="shared" si="14"/>
        <v/>
      </c>
      <c r="E76" s="651" t="str">
        <f t="shared" si="15"/>
        <v/>
      </c>
      <c r="F76" s="290"/>
      <c r="G76" s="289"/>
      <c r="H76" s="648" t="str">
        <f t="shared" si="16"/>
        <v/>
      </c>
      <c r="I76" s="797" t="str">
        <f t="shared" si="17"/>
        <v/>
      </c>
      <c r="J76" s="89" t="str">
        <f>IF(F76="","",VLOOKUP(F76,'10. Condition and Temporal'!$B$6:$F$103,5,FALSE))</f>
        <v/>
      </c>
      <c r="K76" s="88"/>
      <c r="L76" s="774" t="str">
        <f t="shared" si="18"/>
        <v/>
      </c>
      <c r="M76" s="113" t="str">
        <f t="shared" si="19"/>
        <v/>
      </c>
      <c r="N76" s="112"/>
      <c r="O76" s="560"/>
      <c r="P76" s="508"/>
      <c r="R76" s="410"/>
      <c r="T76" s="662" t="str">
        <f t="shared" si="20"/>
        <v/>
      </c>
      <c r="U76" s="600" t="str">
        <f t="shared" si="21"/>
        <v/>
      </c>
      <c r="V76" s="601" t="str">
        <f t="shared" si="22"/>
        <v/>
      </c>
      <c r="W76" s="599" t="str">
        <f t="shared" si="22"/>
        <v/>
      </c>
      <c r="X76" s="579" t="str">
        <f t="shared" si="22"/>
        <v/>
      </c>
      <c r="Y76" s="823"/>
      <c r="Z76" s="823"/>
      <c r="AA76" s="823"/>
      <c r="AB76" s="580" t="str">
        <f t="shared" si="23"/>
        <v/>
      </c>
      <c r="AC76" s="603" t="str">
        <f t="shared" si="24"/>
        <v/>
      </c>
      <c r="AD76" s="601" t="str">
        <f t="shared" si="25"/>
        <v/>
      </c>
      <c r="AE76" s="664" t="str">
        <f t="shared" si="26"/>
        <v/>
      </c>
      <c r="AF76" s="599" t="str">
        <f t="shared" si="27"/>
        <v/>
      </c>
      <c r="AG76" s="600" t="str">
        <f>IF(D76="","",VLOOKUP(F76,'9. All Habitats + Multipliers'!$C$4:$K$102,5,FALSE))</f>
        <v/>
      </c>
      <c r="AH76" s="601" t="str">
        <f>IF(AG76="","",VLOOKUP(AG76,'11. Lists'!$B$47:$D$49,2,FALSE))</f>
        <v/>
      </c>
      <c r="AI76" s="600" t="str">
        <f t="shared" si="28"/>
        <v/>
      </c>
      <c r="AJ76" s="955" t="str">
        <f>IF(AI76="","",VLOOKUP(AI76,'11. Lists'!$F$47:$G$51,2,FALSE))</f>
        <v/>
      </c>
      <c r="AK76" s="956"/>
      <c r="AL76" s="956"/>
      <c r="AM76" s="956"/>
      <c r="AN76" s="955" t="str">
        <f t="shared" si="29"/>
        <v/>
      </c>
      <c r="AO76" s="602"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937" t="str">
        <f t="shared" si="30"/>
        <v/>
      </c>
      <c r="AY76" s="960" t="str">
        <v>1</v>
      </c>
      <c r="AZ76" s="957" t="str">
        <v>1</v>
      </c>
      <c r="BA76" s="579">
        <v>11</v>
      </c>
      <c r="BB76" s="581" t="str">
        <f t="shared" si="31"/>
        <v/>
      </c>
      <c r="BC76" s="581" t="str">
        <f t="shared" si="32"/>
        <v/>
      </c>
      <c r="BD76" s="581" t="str">
        <f t="shared" si="33"/>
        <v/>
      </c>
      <c r="BE76" s="581" t="str">
        <f t="shared" si="34"/>
        <v/>
      </c>
      <c r="BF76" s="581" t="str">
        <f t="shared" si="35"/>
        <v/>
      </c>
      <c r="BG76" s="581" t="str">
        <f t="shared" si="36"/>
        <v/>
      </c>
      <c r="BH76" s="581" t="str">
        <f t="shared" si="37"/>
        <v/>
      </c>
      <c r="BI76" s="581" t="str">
        <f t="shared" si="38"/>
        <v/>
      </c>
      <c r="BJ76" s="581" t="str">
        <f t="shared" si="39"/>
        <v/>
      </c>
      <c r="BK76" s="581" t="str">
        <f t="shared" si="40"/>
        <v/>
      </c>
      <c r="BL76" s="581" t="str">
        <f t="shared" si="41"/>
        <v/>
      </c>
      <c r="BM76" s="581" t="str">
        <f t="shared" si="42"/>
        <v/>
      </c>
      <c r="BN76" s="581" t="str">
        <f t="shared" si="43"/>
        <v/>
      </c>
      <c r="BO76" s="581" t="str">
        <f t="shared" si="44"/>
        <v/>
      </c>
      <c r="BP76" s="581" t="str">
        <f t="shared" si="45"/>
        <v/>
      </c>
      <c r="BQ76" s="581" t="str">
        <f t="shared" si="46"/>
        <v/>
      </c>
      <c r="BR76" s="581" t="str">
        <f t="shared" si="47"/>
        <v/>
      </c>
      <c r="BS76" s="581" t="str">
        <f t="shared" si="48"/>
        <v/>
      </c>
      <c r="BT76" s="581" t="str">
        <f t="shared" si="49"/>
        <v/>
      </c>
      <c r="BU76" s="580" t="str">
        <f t="shared" si="50"/>
        <v/>
      </c>
      <c r="BV76" s="669" t="str">
        <f t="shared" si="51"/>
        <v/>
      </c>
      <c r="BW76" s="581" t="s">
        <v>178</v>
      </c>
      <c r="BX76" s="581">
        <f>BL64</f>
        <v>0</v>
      </c>
    </row>
    <row r="77" spans="1:76" s="520" customFormat="1" ht="15.75" customHeight="1" x14ac:dyDescent="0.25">
      <c r="B77" s="744">
        <v>12</v>
      </c>
      <c r="C77" s="605" t="str">
        <f t="shared" si="13"/>
        <v/>
      </c>
      <c r="D77" s="688" t="str">
        <f t="shared" si="14"/>
        <v/>
      </c>
      <c r="E77" s="651" t="str">
        <f t="shared" si="15"/>
        <v/>
      </c>
      <c r="F77" s="290"/>
      <c r="G77" s="289"/>
      <c r="H77" s="648" t="str">
        <f t="shared" si="16"/>
        <v/>
      </c>
      <c r="I77" s="797" t="str">
        <f t="shared" si="17"/>
        <v/>
      </c>
      <c r="J77" s="89" t="str">
        <f>IF(F77="","",VLOOKUP(F77,'10. Condition and Temporal'!$B$6:$F$103,5,FALSE))</f>
        <v/>
      </c>
      <c r="K77" s="88"/>
      <c r="L77" s="774" t="str">
        <f t="shared" si="18"/>
        <v/>
      </c>
      <c r="M77" s="113" t="str">
        <f t="shared" si="19"/>
        <v/>
      </c>
      <c r="N77" s="112"/>
      <c r="O77" s="560"/>
      <c r="P77" s="508"/>
      <c r="R77" s="410"/>
      <c r="T77" s="662" t="str">
        <f t="shared" si="20"/>
        <v/>
      </c>
      <c r="U77" s="600" t="str">
        <f t="shared" si="21"/>
        <v/>
      </c>
      <c r="V77" s="601" t="str">
        <f t="shared" si="22"/>
        <v/>
      </c>
      <c r="W77" s="599" t="str">
        <f t="shared" si="22"/>
        <v/>
      </c>
      <c r="X77" s="579" t="str">
        <f t="shared" si="22"/>
        <v/>
      </c>
      <c r="Y77" s="823"/>
      <c r="Z77" s="823"/>
      <c r="AA77" s="823"/>
      <c r="AB77" s="580" t="str">
        <f t="shared" si="23"/>
        <v/>
      </c>
      <c r="AC77" s="603" t="str">
        <f t="shared" si="24"/>
        <v/>
      </c>
      <c r="AD77" s="601" t="str">
        <f t="shared" si="25"/>
        <v/>
      </c>
      <c r="AE77" s="664" t="str">
        <f t="shared" si="26"/>
        <v/>
      </c>
      <c r="AF77" s="599" t="str">
        <f t="shared" si="27"/>
        <v/>
      </c>
      <c r="AG77" s="600" t="str">
        <f>IF(D77="","",VLOOKUP(F77,'9. All Habitats + Multipliers'!$C$4:$K$102,5,FALSE))</f>
        <v/>
      </c>
      <c r="AH77" s="601" t="str">
        <f>IF(AG77="","",VLOOKUP(AG77,'11. Lists'!$B$47:$D$49,2,FALSE))</f>
        <v/>
      </c>
      <c r="AI77" s="600" t="str">
        <f t="shared" si="28"/>
        <v/>
      </c>
      <c r="AJ77" s="955" t="str">
        <f>IF(AI77="","",VLOOKUP(AI77,'11. Lists'!$F$47:$G$51,2,FALSE))</f>
        <v/>
      </c>
      <c r="AK77" s="956"/>
      <c r="AL77" s="956"/>
      <c r="AM77" s="956"/>
      <c r="AN77" s="955" t="str">
        <f t="shared" si="29"/>
        <v/>
      </c>
      <c r="AO77" s="602"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937" t="str">
        <f t="shared" si="30"/>
        <v/>
      </c>
      <c r="AY77" s="960" t="str">
        <v>1</v>
      </c>
      <c r="AZ77" s="957" t="str">
        <v>1</v>
      </c>
      <c r="BA77" s="579">
        <v>12</v>
      </c>
      <c r="BB77" s="581" t="str">
        <f t="shared" si="31"/>
        <v/>
      </c>
      <c r="BC77" s="581" t="str">
        <f t="shared" si="32"/>
        <v/>
      </c>
      <c r="BD77" s="581" t="str">
        <f t="shared" si="33"/>
        <v/>
      </c>
      <c r="BE77" s="581" t="str">
        <f t="shared" si="34"/>
        <v/>
      </c>
      <c r="BF77" s="581" t="str">
        <f t="shared" si="35"/>
        <v/>
      </c>
      <c r="BG77" s="581" t="str">
        <f t="shared" si="36"/>
        <v/>
      </c>
      <c r="BH77" s="581" t="str">
        <f t="shared" si="37"/>
        <v/>
      </c>
      <c r="BI77" s="581" t="str">
        <f t="shared" si="38"/>
        <v/>
      </c>
      <c r="BJ77" s="581" t="str">
        <f t="shared" si="39"/>
        <v/>
      </c>
      <c r="BK77" s="581" t="str">
        <f t="shared" si="40"/>
        <v/>
      </c>
      <c r="BL77" s="581" t="str">
        <f t="shared" si="41"/>
        <v/>
      </c>
      <c r="BM77" s="581" t="str">
        <f t="shared" si="42"/>
        <v/>
      </c>
      <c r="BN77" s="581" t="str">
        <f t="shared" si="43"/>
        <v/>
      </c>
      <c r="BO77" s="581" t="str">
        <f t="shared" si="44"/>
        <v/>
      </c>
      <c r="BP77" s="581" t="str">
        <f t="shared" si="45"/>
        <v/>
      </c>
      <c r="BQ77" s="581" t="str">
        <f t="shared" si="46"/>
        <v/>
      </c>
      <c r="BR77" s="581" t="str">
        <f t="shared" si="47"/>
        <v/>
      </c>
      <c r="BS77" s="581" t="str">
        <f t="shared" si="48"/>
        <v/>
      </c>
      <c r="BT77" s="581" t="str">
        <f t="shared" si="49"/>
        <v/>
      </c>
      <c r="BU77" s="580" t="str">
        <f t="shared" si="50"/>
        <v/>
      </c>
      <c r="BV77" s="669" t="str">
        <f t="shared" si="51"/>
        <v/>
      </c>
      <c r="BW77" s="581" t="s">
        <v>179</v>
      </c>
      <c r="BX77" s="581">
        <f>BM64</f>
        <v>0</v>
      </c>
    </row>
    <row r="78" spans="1:76" s="520" customFormat="1" ht="15.75" customHeight="1" x14ac:dyDescent="0.25">
      <c r="B78" s="744">
        <v>13</v>
      </c>
      <c r="C78" s="605" t="str">
        <f t="shared" si="13"/>
        <v/>
      </c>
      <c r="D78" s="688" t="str">
        <f t="shared" si="14"/>
        <v/>
      </c>
      <c r="E78" s="651" t="str">
        <f t="shared" si="15"/>
        <v/>
      </c>
      <c r="F78" s="290"/>
      <c r="G78" s="289"/>
      <c r="H78" s="648" t="str">
        <f t="shared" si="16"/>
        <v/>
      </c>
      <c r="I78" s="797" t="str">
        <f t="shared" si="17"/>
        <v/>
      </c>
      <c r="J78" s="89" t="str">
        <f>IF(F78="","",VLOOKUP(F78,'10. Condition and Temporal'!$B$6:$F$103,5,FALSE))</f>
        <v/>
      </c>
      <c r="K78" s="88"/>
      <c r="L78" s="774" t="str">
        <f t="shared" si="18"/>
        <v/>
      </c>
      <c r="M78" s="113" t="str">
        <f t="shared" si="19"/>
        <v/>
      </c>
      <c r="N78" s="112"/>
      <c r="O78" s="560"/>
      <c r="P78" s="508"/>
      <c r="R78" s="410"/>
      <c r="T78" s="662" t="str">
        <f t="shared" si="20"/>
        <v/>
      </c>
      <c r="U78" s="600" t="str">
        <f t="shared" si="21"/>
        <v/>
      </c>
      <c r="V78" s="601" t="str">
        <f t="shared" si="22"/>
        <v/>
      </c>
      <c r="W78" s="599" t="str">
        <f t="shared" si="22"/>
        <v/>
      </c>
      <c r="X78" s="579" t="str">
        <f t="shared" si="22"/>
        <v/>
      </c>
      <c r="Y78" s="823"/>
      <c r="Z78" s="823"/>
      <c r="AA78" s="823"/>
      <c r="AB78" s="580" t="str">
        <f t="shared" si="23"/>
        <v/>
      </c>
      <c r="AC78" s="603" t="str">
        <f t="shared" si="24"/>
        <v/>
      </c>
      <c r="AD78" s="601" t="str">
        <f t="shared" si="25"/>
        <v/>
      </c>
      <c r="AE78" s="664" t="str">
        <f t="shared" si="26"/>
        <v/>
      </c>
      <c r="AF78" s="599" t="str">
        <f t="shared" si="27"/>
        <v/>
      </c>
      <c r="AG78" s="600" t="str">
        <f>IF(D78="","",VLOOKUP(F78,'9. All Habitats + Multipliers'!$C$4:$K$102,5,FALSE))</f>
        <v/>
      </c>
      <c r="AH78" s="601" t="str">
        <f>IF(AG78="","",VLOOKUP(AG78,'11. Lists'!$B$47:$D$49,2,FALSE))</f>
        <v/>
      </c>
      <c r="AI78" s="600" t="str">
        <f t="shared" si="28"/>
        <v/>
      </c>
      <c r="AJ78" s="955" t="str">
        <f>IF(AI78="","",VLOOKUP(AI78,'11. Lists'!$F$47:$G$51,2,FALSE))</f>
        <v/>
      </c>
      <c r="AK78" s="956"/>
      <c r="AL78" s="956"/>
      <c r="AM78" s="956"/>
      <c r="AN78" s="955" t="str">
        <f t="shared" si="29"/>
        <v/>
      </c>
      <c r="AO78" s="602"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937" t="str">
        <f t="shared" si="30"/>
        <v/>
      </c>
      <c r="AY78" s="960" t="str">
        <v>1</v>
      </c>
      <c r="AZ78" s="957" t="str">
        <v>1</v>
      </c>
      <c r="BA78" s="579">
        <v>13</v>
      </c>
      <c r="BB78" s="581" t="str">
        <f t="shared" si="31"/>
        <v/>
      </c>
      <c r="BC78" s="581" t="str">
        <f t="shared" si="32"/>
        <v/>
      </c>
      <c r="BD78" s="581" t="str">
        <f t="shared" si="33"/>
        <v/>
      </c>
      <c r="BE78" s="581" t="str">
        <f t="shared" si="34"/>
        <v/>
      </c>
      <c r="BF78" s="581" t="str">
        <f t="shared" si="35"/>
        <v/>
      </c>
      <c r="BG78" s="581" t="str">
        <f t="shared" si="36"/>
        <v/>
      </c>
      <c r="BH78" s="581" t="str">
        <f t="shared" si="37"/>
        <v/>
      </c>
      <c r="BI78" s="581" t="str">
        <f t="shared" si="38"/>
        <v/>
      </c>
      <c r="BJ78" s="581" t="str">
        <f t="shared" si="39"/>
        <v/>
      </c>
      <c r="BK78" s="581" t="str">
        <f t="shared" si="40"/>
        <v/>
      </c>
      <c r="BL78" s="581" t="str">
        <f t="shared" si="41"/>
        <v/>
      </c>
      <c r="BM78" s="581" t="str">
        <f t="shared" si="42"/>
        <v/>
      </c>
      <c r="BN78" s="581" t="str">
        <f t="shared" si="43"/>
        <v/>
      </c>
      <c r="BO78" s="581" t="str">
        <f t="shared" si="44"/>
        <v/>
      </c>
      <c r="BP78" s="581" t="str">
        <f t="shared" si="45"/>
        <v/>
      </c>
      <c r="BQ78" s="581" t="str">
        <f t="shared" si="46"/>
        <v/>
      </c>
      <c r="BR78" s="581" t="str">
        <f t="shared" si="47"/>
        <v/>
      </c>
      <c r="BS78" s="581" t="str">
        <f t="shared" si="48"/>
        <v/>
      </c>
      <c r="BT78" s="581" t="str">
        <f t="shared" si="49"/>
        <v/>
      </c>
      <c r="BU78" s="580" t="str">
        <f t="shared" si="50"/>
        <v/>
      </c>
      <c r="BV78" s="669" t="str">
        <f t="shared" si="51"/>
        <v/>
      </c>
      <c r="BW78" s="581" t="s">
        <v>180</v>
      </c>
      <c r="BX78" s="581">
        <f>BN64</f>
        <v>0</v>
      </c>
    </row>
    <row r="79" spans="1:76" s="520" customFormat="1" ht="15.6" customHeight="1" x14ac:dyDescent="0.25">
      <c r="B79" s="744">
        <v>14</v>
      </c>
      <c r="C79" s="605" t="str">
        <f t="shared" si="13"/>
        <v/>
      </c>
      <c r="D79" s="688" t="str">
        <f t="shared" si="14"/>
        <v/>
      </c>
      <c r="E79" s="651" t="str">
        <f t="shared" si="15"/>
        <v/>
      </c>
      <c r="F79" s="290"/>
      <c r="G79" s="289"/>
      <c r="H79" s="648" t="str">
        <f t="shared" si="16"/>
        <v/>
      </c>
      <c r="I79" s="797" t="str">
        <f t="shared" si="17"/>
        <v/>
      </c>
      <c r="J79" s="89" t="str">
        <f>IF(F79="","",VLOOKUP(F79,'10. Condition and Temporal'!$B$6:$F$103,5,FALSE))</f>
        <v/>
      </c>
      <c r="K79" s="88"/>
      <c r="L79" s="774" t="str">
        <f t="shared" si="18"/>
        <v/>
      </c>
      <c r="M79" s="113" t="str">
        <f t="shared" si="19"/>
        <v/>
      </c>
      <c r="N79" s="112"/>
      <c r="O79" s="560"/>
      <c r="P79" s="508"/>
      <c r="R79" s="410"/>
      <c r="T79" s="662" t="str">
        <f t="shared" si="20"/>
        <v/>
      </c>
      <c r="U79" s="600" t="str">
        <f t="shared" si="21"/>
        <v/>
      </c>
      <c r="V79" s="601" t="str">
        <f t="shared" si="22"/>
        <v/>
      </c>
      <c r="W79" s="599" t="str">
        <f t="shared" si="22"/>
        <v/>
      </c>
      <c r="X79" s="579" t="str">
        <f t="shared" si="22"/>
        <v/>
      </c>
      <c r="Y79" s="823"/>
      <c r="Z79" s="823"/>
      <c r="AA79" s="823"/>
      <c r="AB79" s="580" t="str">
        <f t="shared" si="23"/>
        <v/>
      </c>
      <c r="AC79" s="603" t="str">
        <f t="shared" si="24"/>
        <v/>
      </c>
      <c r="AD79" s="601" t="str">
        <f t="shared" si="25"/>
        <v/>
      </c>
      <c r="AE79" s="664" t="str">
        <f t="shared" si="26"/>
        <v/>
      </c>
      <c r="AF79" s="599" t="str">
        <f t="shared" si="27"/>
        <v/>
      </c>
      <c r="AG79" s="600" t="str">
        <f>IF(D79="","",VLOOKUP(F79,'9. All Habitats + Multipliers'!$C$4:$K$102,5,FALSE))</f>
        <v/>
      </c>
      <c r="AH79" s="601" t="str">
        <f>IF(AG79="","",VLOOKUP(AG79,'11. Lists'!$B$47:$D$49,2,FALSE))</f>
        <v/>
      </c>
      <c r="AI79" s="600" t="str">
        <f t="shared" si="28"/>
        <v/>
      </c>
      <c r="AJ79" s="955" t="str">
        <f>IF(AI79="","",VLOOKUP(AI79,'11. Lists'!$F$47:$G$51,2,FALSE))</f>
        <v/>
      </c>
      <c r="AK79" s="956"/>
      <c r="AL79" s="956"/>
      <c r="AM79" s="956"/>
      <c r="AN79" s="955" t="str">
        <f t="shared" si="29"/>
        <v/>
      </c>
      <c r="AO79" s="602"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937" t="str">
        <f t="shared" si="30"/>
        <v/>
      </c>
      <c r="AY79" s="960" t="str">
        <v>1</v>
      </c>
      <c r="AZ79" s="957" t="str">
        <v>1</v>
      </c>
      <c r="BA79" s="579">
        <v>14</v>
      </c>
      <c r="BB79" s="581" t="str">
        <f t="shared" si="31"/>
        <v/>
      </c>
      <c r="BC79" s="581" t="str">
        <f t="shared" si="32"/>
        <v/>
      </c>
      <c r="BD79" s="581" t="str">
        <f t="shared" si="33"/>
        <v/>
      </c>
      <c r="BE79" s="581" t="str">
        <f t="shared" si="34"/>
        <v/>
      </c>
      <c r="BF79" s="581" t="str">
        <f t="shared" si="35"/>
        <v/>
      </c>
      <c r="BG79" s="581" t="str">
        <f t="shared" si="36"/>
        <v/>
      </c>
      <c r="BH79" s="581" t="str">
        <f t="shared" si="37"/>
        <v/>
      </c>
      <c r="BI79" s="581" t="str">
        <f t="shared" si="38"/>
        <v/>
      </c>
      <c r="BJ79" s="581" t="str">
        <f t="shared" si="39"/>
        <v/>
      </c>
      <c r="BK79" s="581" t="str">
        <f t="shared" si="40"/>
        <v/>
      </c>
      <c r="BL79" s="581" t="str">
        <f t="shared" si="41"/>
        <v/>
      </c>
      <c r="BM79" s="581" t="str">
        <f t="shared" si="42"/>
        <v/>
      </c>
      <c r="BN79" s="581" t="str">
        <f t="shared" si="43"/>
        <v/>
      </c>
      <c r="BO79" s="581" t="str">
        <f t="shared" si="44"/>
        <v/>
      </c>
      <c r="BP79" s="581" t="str">
        <f t="shared" si="45"/>
        <v/>
      </c>
      <c r="BQ79" s="581" t="str">
        <f t="shared" si="46"/>
        <v/>
      </c>
      <c r="BR79" s="581" t="str">
        <f t="shared" si="47"/>
        <v/>
      </c>
      <c r="BS79" s="581" t="str">
        <f t="shared" si="48"/>
        <v/>
      </c>
      <c r="BT79" s="581" t="str">
        <f t="shared" si="49"/>
        <v/>
      </c>
      <c r="BU79" s="580" t="str">
        <f t="shared" si="50"/>
        <v/>
      </c>
      <c r="BV79" s="669" t="str">
        <f t="shared" si="51"/>
        <v/>
      </c>
      <c r="BW79" s="581" t="s">
        <v>181</v>
      </c>
      <c r="BX79" s="581">
        <f>BO64</f>
        <v>0</v>
      </c>
    </row>
    <row r="80" spans="1:76" s="520" customFormat="1" ht="15.75" customHeight="1" x14ac:dyDescent="0.25">
      <c r="B80" s="744">
        <v>15</v>
      </c>
      <c r="C80" s="605" t="str">
        <f t="shared" si="13"/>
        <v/>
      </c>
      <c r="D80" s="688" t="str">
        <f t="shared" si="14"/>
        <v/>
      </c>
      <c r="E80" s="651" t="str">
        <f t="shared" si="15"/>
        <v/>
      </c>
      <c r="F80" s="290"/>
      <c r="G80" s="289"/>
      <c r="H80" s="648" t="str">
        <f t="shared" si="16"/>
        <v/>
      </c>
      <c r="I80" s="797" t="str">
        <f t="shared" si="17"/>
        <v/>
      </c>
      <c r="J80" s="89" t="str">
        <f>IF(F80="","",VLOOKUP(F80,'10. Condition and Temporal'!$B$6:$F$103,5,FALSE))</f>
        <v/>
      </c>
      <c r="K80" s="88"/>
      <c r="L80" s="774" t="str">
        <f t="shared" si="18"/>
        <v/>
      </c>
      <c r="M80" s="113" t="str">
        <f t="shared" si="19"/>
        <v/>
      </c>
      <c r="N80" s="112"/>
      <c r="O80" s="560"/>
      <c r="P80" s="508"/>
      <c r="R80" s="410"/>
      <c r="T80" s="662" t="str">
        <f t="shared" si="20"/>
        <v/>
      </c>
      <c r="U80" s="600" t="str">
        <f t="shared" si="21"/>
        <v/>
      </c>
      <c r="V80" s="601" t="str">
        <f t="shared" si="22"/>
        <v/>
      </c>
      <c r="W80" s="599" t="str">
        <f t="shared" si="22"/>
        <v/>
      </c>
      <c r="X80" s="579" t="str">
        <f t="shared" si="22"/>
        <v/>
      </c>
      <c r="Y80" s="823"/>
      <c r="Z80" s="823"/>
      <c r="AA80" s="823"/>
      <c r="AB80" s="580" t="str">
        <f t="shared" si="23"/>
        <v/>
      </c>
      <c r="AC80" s="603" t="str">
        <f t="shared" si="24"/>
        <v/>
      </c>
      <c r="AD80" s="601" t="str">
        <f t="shared" si="25"/>
        <v/>
      </c>
      <c r="AE80" s="664" t="str">
        <f t="shared" si="26"/>
        <v/>
      </c>
      <c r="AF80" s="599" t="str">
        <f t="shared" si="27"/>
        <v/>
      </c>
      <c r="AG80" s="600" t="str">
        <f>IF(D80="","",VLOOKUP(F80,'9. All Habitats + Multipliers'!$C$4:$K$102,5,FALSE))</f>
        <v/>
      </c>
      <c r="AH80" s="601" t="str">
        <f>IF(AG80="","",VLOOKUP(AG80,'11. Lists'!$B$47:$D$49,2,FALSE))</f>
        <v/>
      </c>
      <c r="AI80" s="600" t="str">
        <f t="shared" si="28"/>
        <v/>
      </c>
      <c r="AJ80" s="955" t="str">
        <f>IF(AI80="","",VLOOKUP(AI80,'11. Lists'!$F$47:$G$51,2,FALSE))</f>
        <v/>
      </c>
      <c r="AK80" s="956"/>
      <c r="AL80" s="956"/>
      <c r="AM80" s="956"/>
      <c r="AN80" s="955" t="str">
        <f t="shared" si="29"/>
        <v/>
      </c>
      <c r="AO80" s="602"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937" t="str">
        <f t="shared" si="30"/>
        <v/>
      </c>
      <c r="AY80" s="960" t="str">
        <v>1</v>
      </c>
      <c r="AZ80" s="957" t="str">
        <v>1</v>
      </c>
      <c r="BA80" s="579">
        <v>15</v>
      </c>
      <c r="BB80" s="581" t="str">
        <f t="shared" si="31"/>
        <v/>
      </c>
      <c r="BC80" s="581" t="str">
        <f t="shared" si="32"/>
        <v/>
      </c>
      <c r="BD80" s="581" t="str">
        <f t="shared" si="33"/>
        <v/>
      </c>
      <c r="BE80" s="581" t="str">
        <f t="shared" si="34"/>
        <v/>
      </c>
      <c r="BF80" s="581" t="str">
        <f t="shared" si="35"/>
        <v/>
      </c>
      <c r="BG80" s="581" t="str">
        <f t="shared" si="36"/>
        <v/>
      </c>
      <c r="BH80" s="581" t="str">
        <f t="shared" si="37"/>
        <v/>
      </c>
      <c r="BI80" s="581" t="str">
        <f t="shared" si="38"/>
        <v/>
      </c>
      <c r="BJ80" s="581" t="str">
        <f t="shared" si="39"/>
        <v/>
      </c>
      <c r="BK80" s="581" t="str">
        <f t="shared" si="40"/>
        <v/>
      </c>
      <c r="BL80" s="581" t="str">
        <f t="shared" si="41"/>
        <v/>
      </c>
      <c r="BM80" s="581" t="str">
        <f t="shared" si="42"/>
        <v/>
      </c>
      <c r="BN80" s="581" t="str">
        <f t="shared" si="43"/>
        <v/>
      </c>
      <c r="BO80" s="581" t="str">
        <f t="shared" si="44"/>
        <v/>
      </c>
      <c r="BP80" s="581" t="str">
        <f t="shared" si="45"/>
        <v/>
      </c>
      <c r="BQ80" s="581" t="str">
        <f t="shared" si="46"/>
        <v/>
      </c>
      <c r="BR80" s="581" t="str">
        <f t="shared" si="47"/>
        <v/>
      </c>
      <c r="BS80" s="581" t="str">
        <f t="shared" si="48"/>
        <v/>
      </c>
      <c r="BT80" s="581" t="str">
        <f t="shared" si="49"/>
        <v/>
      </c>
      <c r="BU80" s="580" t="str">
        <f t="shared" si="50"/>
        <v/>
      </c>
      <c r="BV80" s="669" t="str">
        <f t="shared" si="51"/>
        <v/>
      </c>
      <c r="BW80" s="581" t="s">
        <v>182</v>
      </c>
      <c r="BX80" s="581">
        <f>BP64</f>
        <v>0</v>
      </c>
    </row>
    <row r="81" spans="1:76" s="520" customFormat="1" ht="15.75" customHeight="1" x14ac:dyDescent="0.25">
      <c r="B81" s="744">
        <v>16</v>
      </c>
      <c r="C81" s="605" t="str">
        <f t="shared" si="13"/>
        <v/>
      </c>
      <c r="D81" s="688" t="str">
        <f t="shared" si="14"/>
        <v/>
      </c>
      <c r="E81" s="651" t="str">
        <f t="shared" si="15"/>
        <v/>
      </c>
      <c r="F81" s="290"/>
      <c r="G81" s="289"/>
      <c r="H81" s="648" t="str">
        <f t="shared" si="16"/>
        <v/>
      </c>
      <c r="I81" s="797" t="str">
        <f t="shared" si="17"/>
        <v/>
      </c>
      <c r="J81" s="89" t="str">
        <f>IF(F81="","",VLOOKUP(F81,'10. Condition and Temporal'!$B$6:$F$103,5,FALSE))</f>
        <v/>
      </c>
      <c r="K81" s="88"/>
      <c r="L81" s="774" t="str">
        <f t="shared" si="18"/>
        <v/>
      </c>
      <c r="M81" s="113" t="str">
        <f t="shared" si="19"/>
        <v/>
      </c>
      <c r="N81" s="112"/>
      <c r="O81" s="560"/>
      <c r="P81" s="508"/>
      <c r="R81" s="410"/>
      <c r="T81" s="662" t="str">
        <f t="shared" si="20"/>
        <v/>
      </c>
      <c r="U81" s="600" t="str">
        <f t="shared" si="21"/>
        <v/>
      </c>
      <c r="V81" s="601" t="str">
        <f t="shared" si="22"/>
        <v/>
      </c>
      <c r="W81" s="599" t="str">
        <f t="shared" si="22"/>
        <v/>
      </c>
      <c r="X81" s="579" t="str">
        <f t="shared" si="22"/>
        <v/>
      </c>
      <c r="Y81" s="823"/>
      <c r="Z81" s="823"/>
      <c r="AA81" s="823"/>
      <c r="AB81" s="580" t="str">
        <f t="shared" si="23"/>
        <v/>
      </c>
      <c r="AC81" s="603" t="str">
        <f t="shared" si="24"/>
        <v/>
      </c>
      <c r="AD81" s="601" t="str">
        <f t="shared" si="25"/>
        <v/>
      </c>
      <c r="AE81" s="664" t="str">
        <f t="shared" si="26"/>
        <v/>
      </c>
      <c r="AF81" s="599" t="str">
        <f t="shared" si="27"/>
        <v/>
      </c>
      <c r="AG81" s="600" t="str">
        <f>IF(D81="","",VLOOKUP(F81,'9. All Habitats + Multipliers'!$C$4:$K$102,5,FALSE))</f>
        <v/>
      </c>
      <c r="AH81" s="601" t="str">
        <f>IF(AG81="","",VLOOKUP(AG81,'11. Lists'!$B$47:$D$49,2,FALSE))</f>
        <v/>
      </c>
      <c r="AI81" s="600" t="str">
        <f t="shared" si="28"/>
        <v/>
      </c>
      <c r="AJ81" s="955" t="str">
        <f>IF(AI81="","",VLOOKUP(AI81,'11. Lists'!$F$47:$G$51,2,FALSE))</f>
        <v/>
      </c>
      <c r="AK81" s="956"/>
      <c r="AL81" s="956"/>
      <c r="AM81" s="956"/>
      <c r="AN81" s="955" t="str">
        <f t="shared" si="29"/>
        <v/>
      </c>
      <c r="AO81" s="602"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937" t="str">
        <f t="shared" si="30"/>
        <v/>
      </c>
      <c r="AY81" s="960" t="str">
        <v>1</v>
      </c>
      <c r="AZ81" s="957" t="str">
        <v>1</v>
      </c>
      <c r="BA81" s="579">
        <v>16</v>
      </c>
      <c r="BB81" s="581" t="str">
        <f t="shared" si="31"/>
        <v/>
      </c>
      <c r="BC81" s="581" t="str">
        <f t="shared" si="32"/>
        <v/>
      </c>
      <c r="BD81" s="581" t="str">
        <f t="shared" si="33"/>
        <v/>
      </c>
      <c r="BE81" s="581" t="str">
        <f t="shared" si="34"/>
        <v/>
      </c>
      <c r="BF81" s="581" t="str">
        <f t="shared" si="35"/>
        <v/>
      </c>
      <c r="BG81" s="581" t="str">
        <f t="shared" si="36"/>
        <v/>
      </c>
      <c r="BH81" s="581" t="str">
        <f t="shared" si="37"/>
        <v/>
      </c>
      <c r="BI81" s="581" t="str">
        <f t="shared" si="38"/>
        <v/>
      </c>
      <c r="BJ81" s="581" t="str">
        <f t="shared" si="39"/>
        <v/>
      </c>
      <c r="BK81" s="581" t="str">
        <f t="shared" si="40"/>
        <v/>
      </c>
      <c r="BL81" s="581" t="str">
        <f t="shared" si="41"/>
        <v/>
      </c>
      <c r="BM81" s="581" t="str">
        <f t="shared" si="42"/>
        <v/>
      </c>
      <c r="BN81" s="581" t="str">
        <f t="shared" si="43"/>
        <v/>
      </c>
      <c r="BO81" s="581" t="str">
        <f t="shared" si="44"/>
        <v/>
      </c>
      <c r="BP81" s="581" t="str">
        <f t="shared" si="45"/>
        <v/>
      </c>
      <c r="BQ81" s="581" t="str">
        <f t="shared" si="46"/>
        <v/>
      </c>
      <c r="BR81" s="581" t="str">
        <f t="shared" si="47"/>
        <v/>
      </c>
      <c r="BS81" s="581" t="str">
        <f t="shared" si="48"/>
        <v/>
      </c>
      <c r="BT81" s="581" t="str">
        <f t="shared" si="49"/>
        <v/>
      </c>
      <c r="BU81" s="580" t="str">
        <f t="shared" si="50"/>
        <v/>
      </c>
      <c r="BV81" s="669" t="str">
        <f t="shared" si="51"/>
        <v/>
      </c>
      <c r="BW81" s="581" t="s">
        <v>183</v>
      </c>
      <c r="BX81" s="581">
        <f>BQ64</f>
        <v>0</v>
      </c>
    </row>
    <row r="82" spans="1:76" s="520" customFormat="1" ht="15.6" customHeight="1" x14ac:dyDescent="0.25">
      <c r="B82" s="744">
        <v>17</v>
      </c>
      <c r="C82" s="605" t="str">
        <f t="shared" si="13"/>
        <v/>
      </c>
      <c r="D82" s="688" t="str">
        <f t="shared" si="14"/>
        <v/>
      </c>
      <c r="E82" s="651" t="str">
        <f t="shared" si="15"/>
        <v/>
      </c>
      <c r="F82" s="290"/>
      <c r="G82" s="289"/>
      <c r="H82" s="648" t="str">
        <f t="shared" si="16"/>
        <v/>
      </c>
      <c r="I82" s="797" t="str">
        <f t="shared" si="17"/>
        <v/>
      </c>
      <c r="J82" s="89" t="str">
        <f>IF(F82="","",VLOOKUP(F82,'10. Condition and Temporal'!$B$6:$F$103,5,FALSE))</f>
        <v/>
      </c>
      <c r="K82" s="88"/>
      <c r="L82" s="774" t="str">
        <f t="shared" si="18"/>
        <v/>
      </c>
      <c r="M82" s="113" t="str">
        <f t="shared" si="19"/>
        <v/>
      </c>
      <c r="N82" s="112"/>
      <c r="O82" s="560"/>
      <c r="P82" s="508"/>
      <c r="R82" s="410"/>
      <c r="T82" s="662" t="str">
        <f t="shared" si="20"/>
        <v/>
      </c>
      <c r="U82" s="600" t="str">
        <f t="shared" si="21"/>
        <v/>
      </c>
      <c r="V82" s="601" t="str">
        <f t="shared" si="22"/>
        <v/>
      </c>
      <c r="W82" s="599" t="str">
        <f t="shared" si="22"/>
        <v/>
      </c>
      <c r="X82" s="579" t="str">
        <f t="shared" si="22"/>
        <v/>
      </c>
      <c r="Y82" s="823"/>
      <c r="Z82" s="823"/>
      <c r="AA82" s="823"/>
      <c r="AB82" s="580" t="str">
        <f t="shared" si="23"/>
        <v/>
      </c>
      <c r="AC82" s="603" t="str">
        <f t="shared" si="24"/>
        <v/>
      </c>
      <c r="AD82" s="601" t="str">
        <f t="shared" si="25"/>
        <v/>
      </c>
      <c r="AE82" s="664" t="str">
        <f t="shared" si="26"/>
        <v/>
      </c>
      <c r="AF82" s="599" t="str">
        <f t="shared" si="27"/>
        <v/>
      </c>
      <c r="AG82" s="600" t="str">
        <f>IF(D82="","",VLOOKUP(F82,'9. All Habitats + Multipliers'!$C$4:$K$102,5,FALSE))</f>
        <v/>
      </c>
      <c r="AH82" s="601" t="str">
        <f>IF(AG82="","",VLOOKUP(AG82,'11. Lists'!$B$47:$D$49,2,FALSE))</f>
        <v/>
      </c>
      <c r="AI82" s="600" t="str">
        <f t="shared" si="28"/>
        <v/>
      </c>
      <c r="AJ82" s="955" t="str">
        <f>IF(AI82="","",VLOOKUP(AI82,'11. Lists'!$F$47:$G$51,2,FALSE))</f>
        <v/>
      </c>
      <c r="AK82" s="956"/>
      <c r="AL82" s="956"/>
      <c r="AM82" s="956"/>
      <c r="AN82" s="955" t="str">
        <f t="shared" si="29"/>
        <v/>
      </c>
      <c r="AO82" s="602"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937" t="str">
        <f t="shared" si="30"/>
        <v/>
      </c>
      <c r="AY82" s="960" t="str">
        <v>1</v>
      </c>
      <c r="AZ82" s="957" t="str">
        <v>1</v>
      </c>
      <c r="BA82" s="579">
        <v>17</v>
      </c>
      <c r="BB82" s="581" t="str">
        <f t="shared" si="31"/>
        <v/>
      </c>
      <c r="BC82" s="581" t="str">
        <f t="shared" si="32"/>
        <v/>
      </c>
      <c r="BD82" s="581" t="str">
        <f t="shared" si="33"/>
        <v/>
      </c>
      <c r="BE82" s="581" t="str">
        <f t="shared" si="34"/>
        <v/>
      </c>
      <c r="BF82" s="581" t="str">
        <f t="shared" si="35"/>
        <v/>
      </c>
      <c r="BG82" s="581" t="str">
        <f t="shared" si="36"/>
        <v/>
      </c>
      <c r="BH82" s="581" t="str">
        <f t="shared" si="37"/>
        <v/>
      </c>
      <c r="BI82" s="581" t="str">
        <f t="shared" si="38"/>
        <v/>
      </c>
      <c r="BJ82" s="581" t="str">
        <f t="shared" si="39"/>
        <v/>
      </c>
      <c r="BK82" s="581" t="str">
        <f t="shared" si="40"/>
        <v/>
      </c>
      <c r="BL82" s="581" t="str">
        <f t="shared" si="41"/>
        <v/>
      </c>
      <c r="BM82" s="581" t="str">
        <f t="shared" si="42"/>
        <v/>
      </c>
      <c r="BN82" s="581" t="str">
        <f t="shared" si="43"/>
        <v/>
      </c>
      <c r="BO82" s="581" t="str">
        <f t="shared" si="44"/>
        <v/>
      </c>
      <c r="BP82" s="581" t="str">
        <f t="shared" si="45"/>
        <v/>
      </c>
      <c r="BQ82" s="581" t="str">
        <f t="shared" si="46"/>
        <v/>
      </c>
      <c r="BR82" s="581" t="str">
        <f t="shared" si="47"/>
        <v/>
      </c>
      <c r="BS82" s="581" t="str">
        <f t="shared" si="48"/>
        <v/>
      </c>
      <c r="BT82" s="581" t="str">
        <f t="shared" si="49"/>
        <v/>
      </c>
      <c r="BU82" s="580" t="str">
        <f t="shared" si="50"/>
        <v/>
      </c>
      <c r="BV82" s="669" t="str">
        <f t="shared" si="51"/>
        <v/>
      </c>
      <c r="BW82" s="581" t="s">
        <v>184</v>
      </c>
      <c r="BX82" s="581">
        <f>BR64</f>
        <v>0</v>
      </c>
    </row>
    <row r="83" spans="1:76" s="520" customFormat="1" ht="15.75" customHeight="1" x14ac:dyDescent="0.25">
      <c r="B83" s="744">
        <v>18</v>
      </c>
      <c r="C83" s="605" t="str">
        <f t="shared" si="13"/>
        <v/>
      </c>
      <c r="D83" s="688" t="str">
        <f t="shared" si="14"/>
        <v/>
      </c>
      <c r="E83" s="651" t="str">
        <f t="shared" si="15"/>
        <v/>
      </c>
      <c r="F83" s="290"/>
      <c r="G83" s="289"/>
      <c r="H83" s="648" t="str">
        <f t="shared" si="16"/>
        <v/>
      </c>
      <c r="I83" s="797" t="str">
        <f t="shared" si="17"/>
        <v/>
      </c>
      <c r="J83" s="89" t="str">
        <f>IF(F83="","",VLOOKUP(F83,'10. Condition and Temporal'!$B$6:$F$103,5,FALSE))</f>
        <v/>
      </c>
      <c r="K83" s="88"/>
      <c r="L83" s="774" t="str">
        <f t="shared" si="18"/>
        <v/>
      </c>
      <c r="M83" s="113" t="str">
        <f t="shared" si="19"/>
        <v/>
      </c>
      <c r="N83" s="112"/>
      <c r="O83" s="560"/>
      <c r="P83" s="508"/>
      <c r="R83" s="410"/>
      <c r="T83" s="662" t="str">
        <f t="shared" si="20"/>
        <v/>
      </c>
      <c r="U83" s="600" t="str">
        <f t="shared" si="21"/>
        <v/>
      </c>
      <c r="V83" s="601" t="str">
        <f t="shared" si="22"/>
        <v/>
      </c>
      <c r="W83" s="599" t="str">
        <f t="shared" si="22"/>
        <v/>
      </c>
      <c r="X83" s="579" t="str">
        <f t="shared" si="22"/>
        <v/>
      </c>
      <c r="Y83" s="823"/>
      <c r="Z83" s="823"/>
      <c r="AA83" s="823"/>
      <c r="AB83" s="580" t="str">
        <f t="shared" si="23"/>
        <v/>
      </c>
      <c r="AC83" s="603" t="str">
        <f t="shared" si="24"/>
        <v/>
      </c>
      <c r="AD83" s="601" t="str">
        <f t="shared" si="25"/>
        <v/>
      </c>
      <c r="AE83" s="664" t="str">
        <f t="shared" si="26"/>
        <v/>
      </c>
      <c r="AF83" s="599" t="str">
        <f t="shared" si="27"/>
        <v/>
      </c>
      <c r="AG83" s="600" t="str">
        <f>IF(D83="","",VLOOKUP(F83,'9. All Habitats + Multipliers'!$C$4:$K$102,5,FALSE))</f>
        <v/>
      </c>
      <c r="AH83" s="601" t="str">
        <f>IF(AG83="","",VLOOKUP(AG83,'11. Lists'!$B$47:$D$49,2,FALSE))</f>
        <v/>
      </c>
      <c r="AI83" s="600" t="str">
        <f t="shared" si="28"/>
        <v/>
      </c>
      <c r="AJ83" s="955" t="str">
        <f>IF(AI83="","",VLOOKUP(AI83,'11. Lists'!$F$47:$G$51,2,FALSE))</f>
        <v/>
      </c>
      <c r="AK83" s="956"/>
      <c r="AL83" s="956"/>
      <c r="AM83" s="956"/>
      <c r="AN83" s="955" t="str">
        <f t="shared" si="29"/>
        <v/>
      </c>
      <c r="AO83" s="602"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937" t="str">
        <f t="shared" si="30"/>
        <v/>
      </c>
      <c r="AY83" s="960" t="str">
        <v>1</v>
      </c>
      <c r="AZ83" s="957" t="str">
        <v>1</v>
      </c>
      <c r="BA83" s="579">
        <v>18</v>
      </c>
      <c r="BB83" s="581" t="str">
        <f t="shared" si="31"/>
        <v/>
      </c>
      <c r="BC83" s="581" t="str">
        <f t="shared" si="32"/>
        <v/>
      </c>
      <c r="BD83" s="581" t="str">
        <f t="shared" si="33"/>
        <v/>
      </c>
      <c r="BE83" s="581" t="str">
        <f t="shared" si="34"/>
        <v/>
      </c>
      <c r="BF83" s="581" t="str">
        <f t="shared" si="35"/>
        <v/>
      </c>
      <c r="BG83" s="581" t="str">
        <f t="shared" si="36"/>
        <v/>
      </c>
      <c r="BH83" s="581" t="str">
        <f t="shared" si="37"/>
        <v/>
      </c>
      <c r="BI83" s="581" t="str">
        <f t="shared" si="38"/>
        <v/>
      </c>
      <c r="BJ83" s="581" t="str">
        <f t="shared" si="39"/>
        <v/>
      </c>
      <c r="BK83" s="581" t="str">
        <f t="shared" si="40"/>
        <v/>
      </c>
      <c r="BL83" s="581" t="str">
        <f t="shared" si="41"/>
        <v/>
      </c>
      <c r="BM83" s="581" t="str">
        <f t="shared" si="42"/>
        <v/>
      </c>
      <c r="BN83" s="581" t="str">
        <f t="shared" si="43"/>
        <v/>
      </c>
      <c r="BO83" s="581" t="str">
        <f t="shared" si="44"/>
        <v/>
      </c>
      <c r="BP83" s="581" t="str">
        <f t="shared" si="45"/>
        <v/>
      </c>
      <c r="BQ83" s="581" t="str">
        <f t="shared" si="46"/>
        <v/>
      </c>
      <c r="BR83" s="581" t="str">
        <f t="shared" si="47"/>
        <v/>
      </c>
      <c r="BS83" s="581" t="str">
        <f t="shared" si="48"/>
        <v/>
      </c>
      <c r="BT83" s="581" t="str">
        <f t="shared" si="49"/>
        <v/>
      </c>
      <c r="BU83" s="580" t="str">
        <f t="shared" si="50"/>
        <v/>
      </c>
      <c r="BV83" s="669" t="str">
        <f t="shared" si="51"/>
        <v/>
      </c>
      <c r="BW83" s="581" t="s">
        <v>185</v>
      </c>
      <c r="BX83" s="581">
        <f>BS64</f>
        <v>0</v>
      </c>
    </row>
    <row r="84" spans="1:76" s="520" customFormat="1" ht="15.75" customHeight="1" x14ac:dyDescent="0.25">
      <c r="B84" s="744">
        <v>19</v>
      </c>
      <c r="C84" s="605" t="str">
        <f t="shared" si="13"/>
        <v/>
      </c>
      <c r="D84" s="688" t="str">
        <f t="shared" si="14"/>
        <v/>
      </c>
      <c r="E84" s="651" t="str">
        <f t="shared" si="15"/>
        <v/>
      </c>
      <c r="F84" s="290"/>
      <c r="G84" s="289"/>
      <c r="H84" s="648" t="str">
        <f t="shared" si="16"/>
        <v/>
      </c>
      <c r="I84" s="797" t="str">
        <f t="shared" si="17"/>
        <v/>
      </c>
      <c r="J84" s="89" t="str">
        <f>IF(F84="","",VLOOKUP(F84,'10. Condition and Temporal'!$B$6:$F$103,5,FALSE))</f>
        <v/>
      </c>
      <c r="K84" s="88"/>
      <c r="L84" s="774" t="str">
        <f t="shared" si="18"/>
        <v/>
      </c>
      <c r="M84" s="113" t="str">
        <f t="shared" si="19"/>
        <v/>
      </c>
      <c r="N84" s="112"/>
      <c r="O84" s="560"/>
      <c r="P84" s="508"/>
      <c r="R84" s="410"/>
      <c r="T84" s="662" t="str">
        <f t="shared" si="20"/>
        <v/>
      </c>
      <c r="U84" s="600" t="str">
        <f t="shared" si="21"/>
        <v/>
      </c>
      <c r="V84" s="601" t="str">
        <f t="shared" si="22"/>
        <v/>
      </c>
      <c r="W84" s="599" t="str">
        <f t="shared" si="22"/>
        <v/>
      </c>
      <c r="X84" s="579" t="str">
        <f t="shared" si="22"/>
        <v/>
      </c>
      <c r="Y84" s="823"/>
      <c r="Z84" s="823"/>
      <c r="AA84" s="823"/>
      <c r="AB84" s="580" t="str">
        <f t="shared" si="23"/>
        <v/>
      </c>
      <c r="AC84" s="603" t="str">
        <f t="shared" si="24"/>
        <v/>
      </c>
      <c r="AD84" s="601" t="str">
        <f t="shared" si="25"/>
        <v/>
      </c>
      <c r="AE84" s="664" t="str">
        <f t="shared" si="26"/>
        <v/>
      </c>
      <c r="AF84" s="599" t="str">
        <f t="shared" si="27"/>
        <v/>
      </c>
      <c r="AG84" s="600" t="str">
        <f>IF(D84="","",VLOOKUP(F84,'9. All Habitats + Multipliers'!$C$4:$K$102,5,FALSE))</f>
        <v/>
      </c>
      <c r="AH84" s="601" t="str">
        <f>IF(AG84="","",VLOOKUP(AG84,'11. Lists'!$B$47:$D$49,2,FALSE))</f>
        <v/>
      </c>
      <c r="AI84" s="600" t="str">
        <f t="shared" si="28"/>
        <v/>
      </c>
      <c r="AJ84" s="955" t="str">
        <f>IF(AI84="","",VLOOKUP(AI84,'11. Lists'!$F$47:$G$51,2,FALSE))</f>
        <v/>
      </c>
      <c r="AK84" s="956"/>
      <c r="AL84" s="956"/>
      <c r="AM84" s="956"/>
      <c r="AN84" s="955" t="str">
        <f t="shared" si="29"/>
        <v/>
      </c>
      <c r="AO84" s="602"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937" t="str">
        <f t="shared" si="30"/>
        <v/>
      </c>
      <c r="AY84" s="960" t="str">
        <v>1</v>
      </c>
      <c r="AZ84" s="957" t="str">
        <v>1</v>
      </c>
      <c r="BA84" s="579">
        <v>19</v>
      </c>
      <c r="BB84" s="581" t="str">
        <f t="shared" si="31"/>
        <v/>
      </c>
      <c r="BC84" s="581" t="str">
        <f t="shared" si="32"/>
        <v/>
      </c>
      <c r="BD84" s="581" t="str">
        <f t="shared" si="33"/>
        <v/>
      </c>
      <c r="BE84" s="581" t="str">
        <f t="shared" si="34"/>
        <v/>
      </c>
      <c r="BF84" s="581" t="str">
        <f t="shared" si="35"/>
        <v/>
      </c>
      <c r="BG84" s="581" t="str">
        <f t="shared" si="36"/>
        <v/>
      </c>
      <c r="BH84" s="581" t="str">
        <f t="shared" si="37"/>
        <v/>
      </c>
      <c r="BI84" s="581" t="str">
        <f t="shared" si="38"/>
        <v/>
      </c>
      <c r="BJ84" s="581" t="str">
        <f t="shared" si="39"/>
        <v/>
      </c>
      <c r="BK84" s="581" t="str">
        <f t="shared" si="40"/>
        <v/>
      </c>
      <c r="BL84" s="581" t="str">
        <f t="shared" si="41"/>
        <v/>
      </c>
      <c r="BM84" s="581" t="str">
        <f t="shared" si="42"/>
        <v/>
      </c>
      <c r="BN84" s="581" t="str">
        <f t="shared" si="43"/>
        <v/>
      </c>
      <c r="BO84" s="581" t="str">
        <f t="shared" si="44"/>
        <v/>
      </c>
      <c r="BP84" s="581" t="str">
        <f t="shared" si="45"/>
        <v/>
      </c>
      <c r="BQ84" s="581" t="str">
        <f t="shared" si="46"/>
        <v/>
      </c>
      <c r="BR84" s="581" t="str">
        <f t="shared" si="47"/>
        <v/>
      </c>
      <c r="BS84" s="581" t="str">
        <f t="shared" si="48"/>
        <v/>
      </c>
      <c r="BT84" s="581" t="str">
        <f t="shared" si="49"/>
        <v/>
      </c>
      <c r="BU84" s="580" t="str">
        <f t="shared" si="50"/>
        <v/>
      </c>
      <c r="BV84" s="669" t="str">
        <f t="shared" si="51"/>
        <v/>
      </c>
      <c r="BW84" s="581" t="s">
        <v>186</v>
      </c>
      <c r="BX84" s="581">
        <f>BT64</f>
        <v>0</v>
      </c>
    </row>
    <row r="85" spans="1:76" s="520" customFormat="1" ht="16.149999999999999" customHeight="1" x14ac:dyDescent="0.25">
      <c r="B85" s="745">
        <v>20</v>
      </c>
      <c r="C85" s="624" t="str">
        <f t="shared" si="13"/>
        <v/>
      </c>
      <c r="D85" s="898" t="str">
        <f t="shared" si="14"/>
        <v/>
      </c>
      <c r="E85" s="652" t="str">
        <f t="shared" si="15"/>
        <v/>
      </c>
      <c r="F85" s="288"/>
      <c r="G85" s="287"/>
      <c r="H85" s="649" t="str">
        <f t="shared" si="16"/>
        <v/>
      </c>
      <c r="I85" s="902" t="str">
        <f t="shared" si="17"/>
        <v/>
      </c>
      <c r="J85" s="87" t="str">
        <f>IF(F85="","",VLOOKUP(F85,'10. Condition and Temporal'!$B$6:$F$103,5,FALSE))</f>
        <v/>
      </c>
      <c r="K85" s="86"/>
      <c r="L85" s="772" t="str">
        <f t="shared" si="18"/>
        <v/>
      </c>
      <c r="M85" s="104" t="str">
        <f t="shared" si="19"/>
        <v/>
      </c>
      <c r="N85" s="103"/>
      <c r="O85" s="561"/>
      <c r="P85" s="510"/>
      <c r="R85" s="410"/>
      <c r="T85" s="662" t="str">
        <f t="shared" si="20"/>
        <v/>
      </c>
      <c r="U85" s="600" t="str">
        <f t="shared" si="21"/>
        <v/>
      </c>
      <c r="V85" s="601" t="str">
        <f t="shared" si="22"/>
        <v/>
      </c>
      <c r="W85" s="599" t="str">
        <f t="shared" si="22"/>
        <v/>
      </c>
      <c r="X85" s="584" t="str">
        <f t="shared" si="22"/>
        <v/>
      </c>
      <c r="Y85" s="844"/>
      <c r="Z85" s="844"/>
      <c r="AA85" s="844"/>
      <c r="AB85" s="585" t="str">
        <f t="shared" si="23"/>
        <v/>
      </c>
      <c r="AC85" s="603" t="str">
        <f t="shared" si="24"/>
        <v/>
      </c>
      <c r="AD85" s="601" t="str">
        <f t="shared" si="25"/>
        <v/>
      </c>
      <c r="AE85" s="664" t="str">
        <f t="shared" si="26"/>
        <v/>
      </c>
      <c r="AF85" s="599" t="str">
        <f t="shared" si="27"/>
        <v/>
      </c>
      <c r="AG85" s="600" t="str">
        <f>IF(D85="","",VLOOKUP(F85,'9. All Habitats + Multipliers'!$C$4:$K$102,5,FALSE))</f>
        <v/>
      </c>
      <c r="AH85" s="601" t="str">
        <f>IF(AG85="","",VLOOKUP(AG85,'11. Lists'!$B$47:$D$49,2,FALSE))</f>
        <v/>
      </c>
      <c r="AI85" s="600" t="str">
        <f t="shared" si="28"/>
        <v/>
      </c>
      <c r="AJ85" s="955" t="str">
        <f>IF(AI85="","",VLOOKUP(AI85,'11. Lists'!$F$47:$G$51,2,FALSE))</f>
        <v/>
      </c>
      <c r="AK85" s="956"/>
      <c r="AL85" s="956"/>
      <c r="AM85" s="956"/>
      <c r="AN85" s="955" t="str">
        <f t="shared" si="29"/>
        <v/>
      </c>
      <c r="AO85" s="602"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937" t="str">
        <f t="shared" si="30"/>
        <v/>
      </c>
      <c r="AY85" s="961" t="str">
        <v>1</v>
      </c>
      <c r="AZ85" s="957" t="str">
        <v>1</v>
      </c>
      <c r="BA85" s="584">
        <v>20</v>
      </c>
      <c r="BB85" s="581" t="str">
        <f t="shared" si="31"/>
        <v/>
      </c>
      <c r="BC85" s="581" t="str">
        <f t="shared" si="32"/>
        <v/>
      </c>
      <c r="BD85" s="581" t="str">
        <f t="shared" si="33"/>
        <v/>
      </c>
      <c r="BE85" s="581" t="str">
        <f t="shared" si="34"/>
        <v/>
      </c>
      <c r="BF85" s="581" t="str">
        <f t="shared" si="35"/>
        <v/>
      </c>
      <c r="BG85" s="581" t="str">
        <f t="shared" si="36"/>
        <v/>
      </c>
      <c r="BH85" s="581" t="str">
        <f t="shared" si="37"/>
        <v/>
      </c>
      <c r="BI85" s="581" t="str">
        <f t="shared" si="38"/>
        <v/>
      </c>
      <c r="BJ85" s="581" t="str">
        <f t="shared" si="39"/>
        <v/>
      </c>
      <c r="BK85" s="581" t="str">
        <f t="shared" si="40"/>
        <v/>
      </c>
      <c r="BL85" s="581" t="str">
        <f t="shared" si="41"/>
        <v/>
      </c>
      <c r="BM85" s="581" t="str">
        <f t="shared" si="42"/>
        <v/>
      </c>
      <c r="BN85" s="581" t="str">
        <f t="shared" si="43"/>
        <v/>
      </c>
      <c r="BO85" s="581" t="str">
        <f t="shared" si="44"/>
        <v/>
      </c>
      <c r="BP85" s="581" t="str">
        <f t="shared" si="45"/>
        <v/>
      </c>
      <c r="BQ85" s="581" t="str">
        <f t="shared" si="46"/>
        <v/>
      </c>
      <c r="BR85" s="581" t="str">
        <f t="shared" si="47"/>
        <v/>
      </c>
      <c r="BS85" s="581" t="str">
        <f t="shared" si="48"/>
        <v/>
      </c>
      <c r="BT85" s="581" t="str">
        <f t="shared" si="49"/>
        <v/>
      </c>
      <c r="BU85" s="580" t="str">
        <f t="shared" si="50"/>
        <v/>
      </c>
      <c r="BV85" s="669" t="str">
        <f t="shared" si="51"/>
        <v/>
      </c>
      <c r="BW85" s="581" t="s">
        <v>187</v>
      </c>
      <c r="BX85" s="581">
        <f>BU64</f>
        <v>0</v>
      </c>
    </row>
    <row r="86" spans="1:76" s="520" customFormat="1" ht="15" customHeight="1" x14ac:dyDescent="0.25">
      <c r="H86" s="748" t="s">
        <v>239</v>
      </c>
      <c r="I86" s="802">
        <f>SUM(I66:I85)</f>
        <v>0</v>
      </c>
      <c r="J86" s="892"/>
      <c r="L86" s="900">
        <f>SUM(L66:L85)</f>
        <v>0</v>
      </c>
      <c r="M86" s="284">
        <f>SUM(M66:N85)</f>
        <v>0</v>
      </c>
      <c r="N86" s="283"/>
      <c r="R86" s="410"/>
      <c r="AJ86" s="643"/>
      <c r="AK86" s="643"/>
      <c r="AL86" s="643"/>
      <c r="AM86" s="643"/>
      <c r="AN86" s="643"/>
    </row>
    <row r="87" spans="1:76" s="520" customFormat="1" x14ac:dyDescent="0.25">
      <c r="C87" s="521"/>
      <c r="R87" s="410"/>
      <c r="AJ87" s="643"/>
      <c r="AK87" s="643"/>
      <c r="AL87" s="643"/>
      <c r="AM87" s="643"/>
      <c r="AN87" s="643"/>
    </row>
    <row r="88" spans="1:76" s="520" customFormat="1" x14ac:dyDescent="0.25">
      <c r="R88" s="410"/>
      <c r="AJ88" s="643"/>
      <c r="AK88" s="643"/>
      <c r="AL88" s="643"/>
      <c r="AM88" s="643"/>
      <c r="AN88" s="643"/>
    </row>
    <row r="89" spans="1:76" s="520" customFormat="1" ht="19.149999999999999" customHeight="1" x14ac:dyDescent="0.25">
      <c r="R89" s="410"/>
      <c r="AJ89" s="643"/>
      <c r="AK89" s="643"/>
      <c r="AL89" s="643"/>
      <c r="AM89" s="643"/>
      <c r="AN89" s="643"/>
    </row>
    <row r="90" spans="1:76" s="520" customFormat="1" x14ac:dyDescent="0.25">
      <c r="R90" s="410"/>
      <c r="AJ90" s="643"/>
      <c r="AK90" s="643"/>
      <c r="AL90" s="643"/>
      <c r="AM90" s="643"/>
      <c r="AN90" s="643"/>
    </row>
    <row r="91" spans="1:76" s="520" customFormat="1" x14ac:dyDescent="0.25">
      <c r="A91" s="241" t="s">
        <v>203</v>
      </c>
      <c r="B91" s="241"/>
      <c r="C91" s="241"/>
      <c r="D91" s="241"/>
      <c r="E91" s="241"/>
      <c r="F91" s="241"/>
      <c r="G91" s="241"/>
      <c r="H91" s="241"/>
      <c r="I91" s="241"/>
      <c r="J91" s="241"/>
      <c r="K91" s="241"/>
      <c r="L91" s="241"/>
      <c r="M91" s="241"/>
      <c r="N91" s="241"/>
      <c r="O91" s="241"/>
      <c r="P91" s="241"/>
      <c r="Q91" s="241"/>
      <c r="R91" s="410"/>
      <c r="AJ91" s="643"/>
      <c r="AK91" s="643"/>
      <c r="AL91" s="643"/>
      <c r="AM91" s="643"/>
      <c r="AN91" s="643"/>
    </row>
    <row r="92" spans="1:76" s="520" customFormat="1" x14ac:dyDescent="0.25">
      <c r="A92" s="241"/>
      <c r="B92" s="241"/>
      <c r="C92" s="241"/>
      <c r="D92" s="241"/>
      <c r="E92" s="241"/>
      <c r="F92" s="241"/>
      <c r="G92" s="241"/>
      <c r="H92" s="241"/>
      <c r="I92" s="241"/>
      <c r="J92" s="241"/>
      <c r="K92" s="241"/>
      <c r="L92" s="241"/>
      <c r="M92" s="241"/>
      <c r="N92" s="241"/>
      <c r="O92" s="241"/>
      <c r="P92" s="241"/>
      <c r="Q92" s="241"/>
      <c r="R92" s="410"/>
      <c r="AJ92" s="643"/>
      <c r="AK92" s="643"/>
      <c r="AL92" s="643"/>
      <c r="AM92" s="643"/>
      <c r="AN92" s="643"/>
    </row>
    <row r="93" spans="1:76" s="520" customFormat="1" x14ac:dyDescent="0.25">
      <c r="A93" s="241"/>
      <c r="B93" s="241"/>
      <c r="C93" s="241"/>
      <c r="D93" s="241"/>
      <c r="E93" s="241"/>
      <c r="F93" s="241"/>
      <c r="G93" s="241"/>
      <c r="H93" s="241"/>
      <c r="I93" s="241"/>
      <c r="J93" s="241"/>
      <c r="K93" s="241"/>
      <c r="L93" s="241"/>
      <c r="M93" s="241"/>
      <c r="N93" s="241"/>
      <c r="O93" s="241"/>
      <c r="P93" s="241"/>
      <c r="Q93" s="241"/>
      <c r="R93" s="410"/>
      <c r="AJ93" s="643"/>
      <c r="AK93" s="643"/>
      <c r="AL93" s="643"/>
      <c r="AM93" s="643"/>
      <c r="AN93" s="643"/>
    </row>
    <row r="94" spans="1:76" s="520" customFormat="1" x14ac:dyDescent="0.25">
      <c r="R94" s="410"/>
      <c r="AJ94" s="643"/>
      <c r="AK94" s="643"/>
      <c r="AL94" s="643"/>
      <c r="AM94" s="643"/>
      <c r="AN94" s="643"/>
    </row>
    <row r="95" spans="1:76" s="520" customFormat="1" ht="21" customHeight="1" x14ac:dyDescent="0.35">
      <c r="C95" s="543" t="s">
        <v>204</v>
      </c>
      <c r="D95" s="521"/>
      <c r="E95" s="521"/>
      <c r="F95" s="521"/>
      <c r="G95" s="521"/>
      <c r="R95" s="410"/>
      <c r="AJ95" s="643"/>
      <c r="AK95" s="643"/>
      <c r="AL95" s="643"/>
      <c r="AM95" s="643"/>
      <c r="AN95" s="643"/>
    </row>
    <row r="96" spans="1:76" s="520" customFormat="1" ht="15" customHeight="1" x14ac:dyDescent="0.25">
      <c r="R96" s="410"/>
      <c r="AJ96" s="643"/>
      <c r="AK96" s="643"/>
      <c r="AL96" s="643"/>
      <c r="AM96" s="643"/>
      <c r="AN96" s="643"/>
    </row>
    <row r="97" spans="3:40" s="520" customFormat="1" ht="36.6" customHeight="1" x14ac:dyDescent="0.25">
      <c r="C97" s="153" t="s">
        <v>244</v>
      </c>
      <c r="D97" s="151"/>
      <c r="E97" s="150" t="str" cm="1">
        <f t="array" aca="1" ref="E97" ca="1">IF(OR(I103:I106="No ▲"),"Error - Trading Rules Not Satisfied ▲","Trading Rules Satisfied ✓")</f>
        <v>Trading Rules Satisfied ✓</v>
      </c>
      <c r="F97" s="150"/>
      <c r="G97" s="150"/>
      <c r="H97" s="150"/>
      <c r="I97" s="149"/>
      <c r="J97" s="643">
        <f ca="1">IFERROR(FIND("Error",E97),0)</f>
        <v>0</v>
      </c>
      <c r="R97" s="410"/>
      <c r="AJ97" s="643"/>
      <c r="AK97" s="643"/>
      <c r="AL97" s="643"/>
      <c r="AM97" s="643"/>
      <c r="AN97" s="643"/>
    </row>
    <row r="98" spans="3:40" s="520" customFormat="1" x14ac:dyDescent="0.25">
      <c r="R98" s="410"/>
      <c r="AJ98" s="643"/>
      <c r="AK98" s="643"/>
      <c r="AL98" s="643"/>
      <c r="AM98" s="643"/>
      <c r="AN98" s="643"/>
    </row>
    <row r="99" spans="3:40" s="520" customFormat="1" ht="21" customHeight="1" x14ac:dyDescent="0.35">
      <c r="C99" s="543" t="s">
        <v>207</v>
      </c>
      <c r="R99" s="410"/>
      <c r="AJ99" s="643"/>
      <c r="AK99" s="643"/>
      <c r="AL99" s="643"/>
      <c r="AM99" s="643"/>
      <c r="AN99" s="643"/>
    </row>
    <row r="100" spans="3:40" s="520" customFormat="1" x14ac:dyDescent="0.25">
      <c r="R100" s="410"/>
      <c r="AJ100" s="643"/>
      <c r="AK100" s="643"/>
      <c r="AL100" s="643"/>
      <c r="AM100" s="643"/>
      <c r="AN100" s="643"/>
    </row>
    <row r="101" spans="3:40" s="520" customFormat="1" ht="15" customHeight="1" x14ac:dyDescent="0.25">
      <c r="J101" s="908"/>
      <c r="R101" s="410"/>
      <c r="AJ101" s="643"/>
      <c r="AK101" s="643"/>
      <c r="AL101" s="643"/>
      <c r="AM101" s="643"/>
      <c r="AN101" s="643"/>
    </row>
    <row r="102" spans="3:40" s="520" customFormat="1" ht="40.5" customHeight="1" x14ac:dyDescent="0.25">
      <c r="C102" s="928" t="s">
        <v>144</v>
      </c>
      <c r="D102" s="918" t="s">
        <v>97</v>
      </c>
      <c r="E102" s="918" t="s">
        <v>270</v>
      </c>
      <c r="F102" s="918" t="s">
        <v>210</v>
      </c>
      <c r="G102" s="918" t="s">
        <v>211</v>
      </c>
      <c r="H102" s="918" t="s">
        <v>212</v>
      </c>
      <c r="I102" s="919" t="s">
        <v>213</v>
      </c>
      <c r="J102" s="909"/>
      <c r="R102" s="410"/>
      <c r="AJ102" s="643"/>
      <c r="AK102" s="643"/>
      <c r="AL102" s="643"/>
      <c r="AM102" s="643"/>
      <c r="AN102" s="643"/>
    </row>
    <row r="103" spans="3:40" s="520" customFormat="1" ht="30" customHeight="1" x14ac:dyDescent="0.25">
      <c r="C103" s="85" t="s">
        <v>264</v>
      </c>
      <c r="D103" s="139" t="s">
        <v>227</v>
      </c>
      <c r="E103" s="920" t="s">
        <v>271</v>
      </c>
      <c r="F103" s="921">
        <f ca="1">SUMIF($D$11:$E$30, $E$103, $L$11:$L$30)</f>
        <v>0</v>
      </c>
      <c r="G103" s="921">
        <f>IF($I$59+$I$86+$P$1=0,0,SUMIF($D$39:$D$58,$E$103,$L$39:$N$58)+SUMIF($F$66:$G$85,$E$103,$L$66:$L$85)+SUMIF($D$11:$E$30,$E$103,$AE$11:$AE$30))</f>
        <v>0</v>
      </c>
      <c r="H103" s="921">
        <f ca="1">$G$103-$F$103</f>
        <v>0</v>
      </c>
      <c r="I103" s="142" t="str">
        <f ca="1">IF(AND($H$103&gt;=0, H104&gt;=0),"Yes ✓", "No ▲")</f>
        <v>Yes ✓</v>
      </c>
      <c r="J103" s="909"/>
      <c r="R103" s="410"/>
      <c r="AJ103" s="643"/>
      <c r="AK103" s="643"/>
      <c r="AL103" s="643"/>
      <c r="AM103" s="643"/>
      <c r="AN103" s="643"/>
    </row>
    <row r="104" spans="3:40" s="520" customFormat="1" ht="30" customHeight="1" x14ac:dyDescent="0.25">
      <c r="C104" s="84"/>
      <c r="D104" s="138"/>
      <c r="E104" s="906" t="s">
        <v>272</v>
      </c>
      <c r="F104" s="907">
        <f ca="1">SUMIF($D$11:$E$30,$E$104,$L$11:$L$30)</f>
        <v>0</v>
      </c>
      <c r="G104" s="907">
        <f>IF($I$59+$I$86+$P$1=0,0,SUMIF($D$39:$D$58,$E$104,$L$39:$N$58)+SUMIF($F$66:$G$85,$E$104,$L$66:$L$85)+SUMIF($D$11:$E$30,$E$104,$AE$11:$AE$30))</f>
        <v>0</v>
      </c>
      <c r="H104" s="907">
        <f ca="1">$G$104-$F$104</f>
        <v>0</v>
      </c>
      <c r="I104" s="141"/>
      <c r="J104" s="909"/>
      <c r="R104" s="410"/>
      <c r="AJ104" s="643"/>
      <c r="AK104" s="643"/>
      <c r="AL104" s="643"/>
      <c r="AM104" s="643"/>
      <c r="AN104" s="643"/>
    </row>
    <row r="105" spans="3:40" s="520" customFormat="1" ht="30" customHeight="1" x14ac:dyDescent="0.25">
      <c r="C105" s="84"/>
      <c r="D105" s="136"/>
      <c r="E105" s="922" t="s">
        <v>250</v>
      </c>
      <c r="F105" s="923">
        <f ca="1">SUM(F103:F104)</f>
        <v>0</v>
      </c>
      <c r="G105" s="923">
        <f>SUM(G103:G104)</f>
        <v>0</v>
      </c>
      <c r="H105" s="923">
        <f ca="1">SUM($H$103:$H$104)</f>
        <v>0</v>
      </c>
      <c r="I105" s="140"/>
      <c r="J105" s="643">
        <f ca="1">IF($I$103= "No ▲",1,0)</f>
        <v>0</v>
      </c>
      <c r="R105" s="410"/>
      <c r="AJ105" s="643"/>
      <c r="AK105" s="643"/>
      <c r="AL105" s="643"/>
      <c r="AM105" s="643"/>
      <c r="AN105" s="643"/>
    </row>
    <row r="106" spans="3:40" s="520" customFormat="1" ht="30" customHeight="1" x14ac:dyDescent="0.25">
      <c r="C106" s="83"/>
      <c r="D106" s="924" t="s">
        <v>228</v>
      </c>
      <c r="E106" s="925" t="s">
        <v>273</v>
      </c>
      <c r="F106" s="926">
        <f ca="1">SUMIF($D$11:$E$30,$E$106,$L$11:$L$30)</f>
        <v>0</v>
      </c>
      <c r="G106" s="926">
        <f>IF($I$59+$I$86+$P$1=0,0,SUMIF($D$39:$D$58,$E$106,$L$39:$N$58)+SUMIF($F$66:$G$85,$E$106,$L$66:$L$85)+SUMIF($D$11:$E$30,$E$106,$AE$11:$AE$30))</f>
        <v>0</v>
      </c>
      <c r="H106" s="926">
        <f ca="1">$G$106-$F$106</f>
        <v>0</v>
      </c>
      <c r="I106" s="927" t="str">
        <f ca="1">IF($G$107&gt;=0,"Yes ✓", "No ▲")</f>
        <v>Yes ✓</v>
      </c>
      <c r="J106" s="643">
        <f ca="1">IF($I$106= "No ▲",1,0)</f>
        <v>0</v>
      </c>
      <c r="R106" s="410"/>
      <c r="AJ106" s="643"/>
      <c r="AK106" s="643"/>
      <c r="AL106" s="643"/>
      <c r="AM106" s="643"/>
      <c r="AN106" s="643"/>
    </row>
    <row r="107" spans="3:40" s="520" customFormat="1" ht="12" customHeight="1" x14ac:dyDescent="0.25">
      <c r="G107" s="912">
        <f ca="1">IF(H105&gt;0,($H$105+$H$106),H106)</f>
        <v>0</v>
      </c>
      <c r="J107" s="908"/>
      <c r="R107" s="410"/>
      <c r="AJ107" s="643"/>
      <c r="AK107" s="643"/>
      <c r="AL107" s="643"/>
      <c r="AM107" s="643"/>
      <c r="AN107" s="643"/>
    </row>
    <row r="108" spans="3:40" s="520" customFormat="1" ht="18" customHeight="1" x14ac:dyDescent="0.3">
      <c r="C108" s="409" t="s">
        <v>274</v>
      </c>
      <c r="D108" s="82"/>
      <c r="E108" s="82"/>
      <c r="F108" s="82"/>
      <c r="G108" s="915">
        <f ca="1">$H$105</f>
        <v>0</v>
      </c>
      <c r="H108" s="909"/>
      <c r="J108" s="908"/>
      <c r="R108" s="410"/>
      <c r="AJ108" s="643"/>
      <c r="AK108" s="643"/>
      <c r="AL108" s="643"/>
      <c r="AM108" s="643"/>
      <c r="AN108" s="643"/>
    </row>
    <row r="109" spans="3:40" s="520" customFormat="1" ht="18.600000000000001" customHeight="1" x14ac:dyDescent="0.25">
      <c r="C109" s="136" t="s">
        <v>275</v>
      </c>
      <c r="D109" s="428"/>
      <c r="E109" s="428"/>
      <c r="F109" s="428"/>
      <c r="G109" s="916">
        <f ca="1">IF($H$105&lt;=0,$H$106,($H$106+$H$105))</f>
        <v>0</v>
      </c>
      <c r="R109" s="410"/>
      <c r="AJ109" s="643"/>
      <c r="AK109" s="643"/>
      <c r="AL109" s="643"/>
      <c r="AM109" s="643"/>
      <c r="AN109" s="643"/>
    </row>
    <row r="110" spans="3:40" s="520" customFormat="1" x14ac:dyDescent="0.25">
      <c r="R110" s="410"/>
      <c r="AJ110" s="643"/>
      <c r="AK110" s="643"/>
      <c r="AL110" s="643"/>
      <c r="AM110" s="643"/>
      <c r="AN110" s="643"/>
    </row>
    <row r="111" spans="3:40" s="520" customFormat="1" x14ac:dyDescent="0.25">
      <c r="R111" s="410"/>
      <c r="AJ111" s="643"/>
      <c r="AK111" s="643"/>
      <c r="AL111" s="643"/>
      <c r="AM111" s="643"/>
      <c r="AN111" s="643"/>
    </row>
    <row r="112" spans="3:40" s="520" customFormat="1" x14ac:dyDescent="0.25">
      <c r="R112" s="410"/>
      <c r="AJ112" s="643"/>
      <c r="AK112" s="643"/>
      <c r="AL112" s="643"/>
      <c r="AM112" s="643"/>
      <c r="AN112" s="643"/>
    </row>
    <row r="113" spans="18:40" s="520" customFormat="1" x14ac:dyDescent="0.25">
      <c r="R113" s="410"/>
      <c r="AJ113" s="643"/>
      <c r="AK113" s="643"/>
      <c r="AL113" s="643"/>
      <c r="AM113" s="643"/>
      <c r="AN113" s="643"/>
    </row>
    <row r="114" spans="18:40" s="520" customFormat="1" x14ac:dyDescent="0.25">
      <c r="R114" s="410"/>
      <c r="AJ114" s="643"/>
      <c r="AK114" s="643"/>
      <c r="AL114" s="643"/>
      <c r="AM114" s="643"/>
      <c r="AN114" s="643"/>
    </row>
    <row r="115" spans="18:40" s="520" customFormat="1" x14ac:dyDescent="0.25">
      <c r="R115" s="410"/>
      <c r="AJ115" s="643"/>
      <c r="AK115" s="643"/>
      <c r="AL115" s="643"/>
      <c r="AM115" s="643"/>
      <c r="AN115" s="643"/>
    </row>
    <row r="116" spans="18:40" s="520" customFormat="1" x14ac:dyDescent="0.25">
      <c r="R116" s="410"/>
      <c r="AJ116" s="643"/>
      <c r="AK116" s="643"/>
      <c r="AL116" s="643"/>
      <c r="AM116" s="643"/>
      <c r="AN116" s="643"/>
    </row>
    <row r="117" spans="18:40" s="520" customFormat="1" x14ac:dyDescent="0.25">
      <c r="R117" s="410"/>
      <c r="AJ117" s="643"/>
      <c r="AK117" s="643"/>
      <c r="AL117" s="643"/>
      <c r="AM117" s="643"/>
      <c r="AN117" s="643"/>
    </row>
    <row r="118" spans="18:40" s="520" customFormat="1" x14ac:dyDescent="0.25">
      <c r="R118" s="410"/>
      <c r="AJ118" s="643"/>
      <c r="AK118" s="643"/>
      <c r="AL118" s="643"/>
      <c r="AM118" s="643"/>
      <c r="AN118" s="643"/>
    </row>
    <row r="119" spans="18:40" s="520" customFormat="1" x14ac:dyDescent="0.25">
      <c r="R119" s="410"/>
      <c r="AJ119" s="643"/>
      <c r="AK119" s="643"/>
      <c r="AL119" s="643"/>
      <c r="AM119" s="643"/>
      <c r="AN119" s="643"/>
    </row>
    <row r="120" spans="18:40" s="520" customFormat="1" x14ac:dyDescent="0.25">
      <c r="R120" s="410"/>
      <c r="AJ120" s="643"/>
      <c r="AK120" s="643"/>
      <c r="AL120" s="643"/>
      <c r="AM120" s="643"/>
      <c r="AN120" s="643"/>
    </row>
    <row r="121" spans="18:40" s="520" customFormat="1" x14ac:dyDescent="0.25">
      <c r="R121" s="410"/>
      <c r="AJ121" s="643"/>
      <c r="AK121" s="643"/>
      <c r="AL121" s="643"/>
      <c r="AM121" s="643"/>
      <c r="AN121" s="643"/>
    </row>
    <row r="122" spans="18:40" s="520" customFormat="1" x14ac:dyDescent="0.25">
      <c r="R122" s="410"/>
      <c r="AJ122" s="643"/>
      <c r="AK122" s="643"/>
      <c r="AL122" s="643"/>
      <c r="AM122" s="643"/>
      <c r="AN122" s="643"/>
    </row>
    <row r="123" spans="18:40" s="520" customFormat="1" x14ac:dyDescent="0.25">
      <c r="R123" s="410"/>
      <c r="AJ123" s="643"/>
      <c r="AK123" s="643"/>
      <c r="AL123" s="643"/>
      <c r="AM123" s="643"/>
      <c r="AN123" s="643"/>
    </row>
    <row r="124" spans="18:40" s="520" customFormat="1" x14ac:dyDescent="0.25">
      <c r="R124" s="410"/>
      <c r="AJ124" s="643"/>
      <c r="AK124" s="643"/>
      <c r="AL124" s="643"/>
      <c r="AM124" s="643"/>
      <c r="AN124" s="643"/>
    </row>
    <row r="125" spans="18:40" s="520" customFormat="1" x14ac:dyDescent="0.25">
      <c r="R125" s="410"/>
      <c r="AJ125" s="643"/>
      <c r="AK125" s="643"/>
      <c r="AL125" s="643"/>
      <c r="AM125" s="643"/>
      <c r="AN125" s="643"/>
    </row>
    <row r="126" spans="18:40" s="520" customFormat="1" x14ac:dyDescent="0.25">
      <c r="R126" s="410"/>
      <c r="AJ126" s="643"/>
      <c r="AK126" s="643"/>
      <c r="AL126" s="643"/>
      <c r="AM126" s="643"/>
      <c r="AN126" s="643"/>
    </row>
    <row r="127" spans="18:40" s="520" customFormat="1" x14ac:dyDescent="0.25">
      <c r="R127" s="410"/>
      <c r="AJ127" s="643"/>
      <c r="AK127" s="643"/>
      <c r="AL127" s="643"/>
      <c r="AM127" s="643"/>
      <c r="AN127" s="643"/>
    </row>
    <row r="128" spans="18:40" s="520" customFormat="1" x14ac:dyDescent="0.25">
      <c r="R128" s="410"/>
      <c r="AJ128" s="643"/>
      <c r="AK128" s="643"/>
      <c r="AL128" s="643"/>
      <c r="AM128" s="643"/>
      <c r="AN128" s="643"/>
    </row>
    <row r="129" spans="18:40" s="520" customFormat="1" x14ac:dyDescent="0.25">
      <c r="R129" s="410"/>
      <c r="AJ129" s="643"/>
      <c r="AK129" s="643"/>
      <c r="AL129" s="643"/>
      <c r="AM129" s="643"/>
      <c r="AN129" s="643"/>
    </row>
    <row r="130" spans="18:40" s="520" customFormat="1" x14ac:dyDescent="0.25">
      <c r="R130" s="410"/>
      <c r="AJ130" s="643"/>
      <c r="AK130" s="643"/>
      <c r="AL130" s="643"/>
      <c r="AM130" s="643"/>
      <c r="AN130" s="643"/>
    </row>
  </sheetData>
  <sheetProtection algorithmName="SHA-512" hashValue="7HLOq8XY9RtwIsu9pKITXtzaQIkQskpS6tcsZ2zCm6OVJoyAyiRkR2xiJp8Xa5RHWgDMsUw1fQYkWK8oO9QE9Q==" saltValue="AuX3pbM0XTjmrHH9XTgd6Q==" spinCount="100000" sheet="1" formatRows="0"/>
  <mergeCells count="272">
    <mergeCell ref="M86:N86"/>
    <mergeCell ref="R89:R97"/>
    <mergeCell ref="A91:Q93"/>
    <mergeCell ref="C97:D97"/>
    <mergeCell ref="E97:I97"/>
    <mergeCell ref="R98:R100"/>
    <mergeCell ref="R101:R130"/>
    <mergeCell ref="C103:C106"/>
    <mergeCell ref="D103:D105"/>
    <mergeCell ref="I103:I105"/>
    <mergeCell ref="C108:F108"/>
    <mergeCell ref="C109:F109"/>
    <mergeCell ref="F83:G83"/>
    <mergeCell ref="J83:K83"/>
    <mergeCell ref="M83:N83"/>
    <mergeCell ref="F84:G84"/>
    <mergeCell ref="J84:K84"/>
    <mergeCell ref="M84:N84"/>
    <mergeCell ref="F85:G85"/>
    <mergeCell ref="J85:K85"/>
    <mergeCell ref="M85:N85"/>
    <mergeCell ref="F80:G80"/>
    <mergeCell ref="J80:K80"/>
    <mergeCell ref="M80:N80"/>
    <mergeCell ref="F81:G81"/>
    <mergeCell ref="J81:K81"/>
    <mergeCell ref="M81:N81"/>
    <mergeCell ref="F82:G82"/>
    <mergeCell ref="J82:K82"/>
    <mergeCell ref="M82:N82"/>
    <mergeCell ref="F77:G77"/>
    <mergeCell ref="J77:K77"/>
    <mergeCell ref="M77:N77"/>
    <mergeCell ref="F78:G78"/>
    <mergeCell ref="J78:K78"/>
    <mergeCell ref="M78:N78"/>
    <mergeCell ref="F79:G79"/>
    <mergeCell ref="J79:K79"/>
    <mergeCell ref="M79:N79"/>
    <mergeCell ref="F74:G74"/>
    <mergeCell ref="J74:K74"/>
    <mergeCell ref="M74:N74"/>
    <mergeCell ref="F75:G75"/>
    <mergeCell ref="J75:K75"/>
    <mergeCell ref="M75:N75"/>
    <mergeCell ref="F76:G76"/>
    <mergeCell ref="J76:K76"/>
    <mergeCell ref="M76:N76"/>
    <mergeCell ref="F71:G71"/>
    <mergeCell ref="J71:K71"/>
    <mergeCell ref="M71:N71"/>
    <mergeCell ref="F72:G72"/>
    <mergeCell ref="J72:K72"/>
    <mergeCell ref="M72:N72"/>
    <mergeCell ref="F73:G73"/>
    <mergeCell ref="J73:K73"/>
    <mergeCell ref="M73:N73"/>
    <mergeCell ref="F68:G68"/>
    <mergeCell ref="J68:K68"/>
    <mergeCell ref="M68:N68"/>
    <mergeCell ref="F69:G69"/>
    <mergeCell ref="J69:K69"/>
    <mergeCell ref="M69:N69"/>
    <mergeCell ref="F70:G70"/>
    <mergeCell ref="J70:K70"/>
    <mergeCell ref="M70:N70"/>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57:G57"/>
    <mergeCell ref="I57:K57"/>
    <mergeCell ref="L57:N57"/>
    <mergeCell ref="T57:U57"/>
    <mergeCell ref="F58:G58"/>
    <mergeCell ref="I58:K58"/>
    <mergeCell ref="L58:N58"/>
    <mergeCell ref="T58:U58"/>
    <mergeCell ref="I59:K59"/>
    <mergeCell ref="L59:N59"/>
    <mergeCell ref="F54:G54"/>
    <mergeCell ref="I54:K54"/>
    <mergeCell ref="L54:N54"/>
    <mergeCell ref="T54:U54"/>
    <mergeCell ref="F55:G55"/>
    <mergeCell ref="I55:K55"/>
    <mergeCell ref="L55:N55"/>
    <mergeCell ref="T55:U55"/>
    <mergeCell ref="F56:G56"/>
    <mergeCell ref="I56:K56"/>
    <mergeCell ref="L56:N56"/>
    <mergeCell ref="T56:U56"/>
    <mergeCell ref="L51:N51"/>
    <mergeCell ref="T51:U51"/>
    <mergeCell ref="F52:G52"/>
    <mergeCell ref="I52:K52"/>
    <mergeCell ref="L52:N52"/>
    <mergeCell ref="T52:U52"/>
    <mergeCell ref="F53:G53"/>
    <mergeCell ref="I53:K53"/>
    <mergeCell ref="L53:N53"/>
    <mergeCell ref="T53:U53"/>
    <mergeCell ref="T48:U48"/>
    <mergeCell ref="F49:G49"/>
    <mergeCell ref="I49:K49"/>
    <mergeCell ref="L49:N49"/>
    <mergeCell ref="T49:U49"/>
    <mergeCell ref="F50:G50"/>
    <mergeCell ref="I50:K50"/>
    <mergeCell ref="L50:N50"/>
    <mergeCell ref="T50:U50"/>
    <mergeCell ref="T45:U45"/>
    <mergeCell ref="F46:G46"/>
    <mergeCell ref="I46:K46"/>
    <mergeCell ref="L46:N46"/>
    <mergeCell ref="T46:U46"/>
    <mergeCell ref="F47:G47"/>
    <mergeCell ref="I47:K47"/>
    <mergeCell ref="L47:N47"/>
    <mergeCell ref="T47:U47"/>
    <mergeCell ref="T42:U42"/>
    <mergeCell ref="F43:G43"/>
    <mergeCell ref="I43:K43"/>
    <mergeCell ref="L43:N43"/>
    <mergeCell ref="T43:U43"/>
    <mergeCell ref="F44:G44"/>
    <mergeCell ref="I44:K44"/>
    <mergeCell ref="L44:N44"/>
    <mergeCell ref="T44:U44"/>
    <mergeCell ref="T39:U39"/>
    <mergeCell ref="F40:G40"/>
    <mergeCell ref="I40:K40"/>
    <mergeCell ref="L40:N40"/>
    <mergeCell ref="T40:U40"/>
    <mergeCell ref="F41:G41"/>
    <mergeCell ref="I41:K41"/>
    <mergeCell ref="L41:N41"/>
    <mergeCell ref="T41:U41"/>
    <mergeCell ref="T37:V37"/>
    <mergeCell ref="W37:X37"/>
    <mergeCell ref="Y37:AA37"/>
    <mergeCell ref="AB37:AD37"/>
    <mergeCell ref="AE37:AF37"/>
    <mergeCell ref="AG37:AH37"/>
    <mergeCell ref="AI37:AI38"/>
    <mergeCell ref="F38:G38"/>
    <mergeCell ref="T38:U38"/>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76" priority="40" operator="equal">
      <formula>"Enhancement not possible"</formula>
    </cfRule>
  </conditionalFormatting>
  <conditionalFormatting sqref="E97">
    <cfRule type="containsText" dxfId="75" priority="54" operator="containsText" text="Trading Rules Satisfied">
      <formula>NOT(ISERROR(SEARCH("Trading Rules Satisfied",E97)))</formula>
    </cfRule>
    <cfRule type="containsText" dxfId="74" priority="55" operator="containsText" text="Error - Trading Rules Not Satisfied">
      <formula>NOT(ISERROR(SEARCH("Error - Trading Rules Not Satisfied",E97)))</formula>
    </cfRule>
  </conditionalFormatting>
  <conditionalFormatting sqref="F39:F58">
    <cfRule type="expression" dxfId="73" priority="43">
      <formula>ISNUMBER(SEARCH(F39,E39,1))</formula>
    </cfRule>
    <cfRule type="containsBlanks" dxfId="72" priority="42" stopIfTrue="1">
      <formula>LEN(TRIM(F39))=0</formula>
    </cfRule>
  </conditionalFormatting>
  <conditionalFormatting sqref="F66:G85">
    <cfRule type="expression" dxfId="71" priority="39">
      <formula>$D66=""</formula>
    </cfRule>
  </conditionalFormatting>
  <conditionalFormatting sqref="I31">
    <cfRule type="cellIs" dxfId="70" priority="56" operator="greaterThan">
      <formula>5000</formula>
    </cfRule>
  </conditionalFormatting>
  <conditionalFormatting sqref="I86">
    <cfRule type="expression" dxfId="69" priority="51">
      <formula>"p18=""Avoid"""</formula>
    </cfRule>
    <cfRule type="cellIs" dxfId="68" priority="50" operator="equal">
      <formula>"Any loss Unacceptable"</formula>
    </cfRule>
  </conditionalFormatting>
  <conditionalFormatting sqref="I103 I106">
    <cfRule type="containsText" dxfId="67" priority="1" operator="containsText" text="No">
      <formula>NOT(ISERROR(SEARCH("No",I103)))</formula>
    </cfRule>
    <cfRule type="containsText" dxfId="66" priority="2" operator="containsText" text="Yes">
      <formula>NOT(ISERROR(SEARCH("Yes",I103)))</formula>
    </cfRule>
  </conditionalFormatting>
  <conditionalFormatting sqref="I32:N32">
    <cfRule type="containsText" dxfId="65" priority="46" operator="containsText" text="acceptable">
      <formula>NOT(ISERROR(SEARCH("acceptable",I32)))</formula>
    </cfRule>
    <cfRule type="containsText" dxfId="64" priority="45" operator="containsText" text="error">
      <formula>NOT(ISERROR(SEARCH("error",I32)))</formula>
    </cfRule>
  </conditionalFormatting>
  <conditionalFormatting sqref="I33:N33">
    <cfRule type="containsText" dxfId="63" priority="4" operator="containsText" text=" ✓">
      <formula>NOT(ISERROR(SEARCH(" ✓",I33)))</formula>
    </cfRule>
  </conditionalFormatting>
  <conditionalFormatting sqref="J2 O6">
    <cfRule type="containsText" dxfId="62" priority="53" operator="containsText" text="Errors Present On Sheet">
      <formula>NOT(ISERROR(SEARCH("Errors Present On Sheet",J2)))</formula>
    </cfRule>
  </conditionalFormatting>
  <conditionalFormatting sqref="J2">
    <cfRule type="containsText" dxfId="61" priority="44" operator="containsText" text="Technical">
      <formula>NOT(ISERROR(SEARCH("Technical",J2)))</formula>
    </cfRule>
  </conditionalFormatting>
  <conditionalFormatting sqref="K11:K30">
    <cfRule type="expression" dxfId="60" priority="47">
      <formula>$AI11="Enhancement not possible"</formula>
    </cfRule>
  </conditionalFormatting>
  <conditionalFormatting sqref="L11:L30">
    <cfRule type="containsText" dxfId="59" priority="21" operator="containsText" text="▲">
      <formula>NOT(ISERROR(SEARCH("▲",L11)))</formula>
    </cfRule>
    <cfRule type="containsText" dxfId="58" priority="22" operator="containsText" text="value">
      <formula>NOT(ISERROR(SEARCH("value",L11)))</formula>
    </cfRule>
  </conditionalFormatting>
  <conditionalFormatting sqref="L66:L85">
    <cfRule type="containsText" dxfId="57" priority="5" operator="containsText" text="▲">
      <formula>NOT(ISERROR(SEARCH("▲",L66)))</formula>
    </cfRule>
  </conditionalFormatting>
  <conditionalFormatting sqref="L86">
    <cfRule type="cellIs" dxfId="56" priority="48" operator="equal">
      <formula>"Any loss Unacceptable"</formula>
    </cfRule>
    <cfRule type="expression" dxfId="55" priority="49">
      <formula>"p18=""Avoid"""</formula>
    </cfRule>
  </conditionalFormatting>
  <conditionalFormatting sqref="L11:M30">
    <cfRule type="cellIs" dxfId="54" priority="31" operator="equal">
      <formula>"Any loss Unacceptable"</formula>
    </cfRule>
    <cfRule type="expression" dxfId="53" priority="32">
      <formula>"p18=""Avoid"""</formula>
    </cfRule>
  </conditionalFormatting>
  <conditionalFormatting sqref="L39:M58">
    <cfRule type="cellIs" dxfId="52" priority="14" operator="equal">
      <formula>"Alternative Compensation"</formula>
    </cfRule>
    <cfRule type="cellIs" dxfId="51" priority="15" operator="equal">
      <formula>"Unacceptable Loss"</formula>
    </cfRule>
    <cfRule type="cellIs" dxfId="50" priority="16" operator="equal">
      <formula>"Compensation Agreed"</formula>
    </cfRule>
  </conditionalFormatting>
  <conditionalFormatting sqref="L66:M85">
    <cfRule type="cellIs" dxfId="49" priority="6" operator="equal">
      <formula>"Alternative Compensation"</formula>
    </cfRule>
    <cfRule type="cellIs" dxfId="48" priority="7" operator="equal">
      <formula>"Unacceptable Loss"</formula>
    </cfRule>
    <cfRule type="cellIs" dxfId="47" priority="8" operator="equal">
      <formula>"Compensation Agreed"</formula>
    </cfRule>
  </conditionalFormatting>
  <conditionalFormatting sqref="L39:N58">
    <cfRule type="containsText" dxfId="46" priority="12" operator="containsText" text="▲">
      <formula>NOT(ISERROR(SEARCH("▲",L39)))</formula>
    </cfRule>
    <cfRule type="containsText" dxfId="45" priority="13" operator="containsText" text="value">
      <formula>NOT(ISERROR(SEARCH("value",L39)))</formula>
    </cfRule>
  </conditionalFormatting>
  <conditionalFormatting sqref="M11:M30">
    <cfRule type="containsText" dxfId="44" priority="24" operator="containsText" text="error">
      <formula>NOT(ISERROR(SEARCH("error",M11)))</formula>
    </cfRule>
  </conditionalFormatting>
  <conditionalFormatting sqref="N11:N30">
    <cfRule type="cellIs" dxfId="43" priority="27" operator="equal">
      <formula>"Compensation Agreed"</formula>
    </cfRule>
    <cfRule type="cellIs" dxfId="42" priority="25" operator="equal">
      <formula>"Alternative Compensation"</formula>
    </cfRule>
    <cfRule type="containsText" dxfId="41" priority="20" operator="containsText" text="value">
      <formula>NOT(ISERROR(SEARCH("value",N11)))</formula>
    </cfRule>
    <cfRule type="containsText" dxfId="40" priority="23" operator="containsText" text="▲">
      <formula>NOT(ISERROR(SEARCH("▲",N11)))</formula>
    </cfRule>
    <cfRule type="cellIs" dxfId="39" priority="26" operator="equal">
      <formula>"Unacceptable Loss"</formula>
    </cfRule>
  </conditionalFormatting>
  <conditionalFormatting sqref="P1:P5 I33:N33 M66:N85">
    <cfRule type="containsText" dxfId="38" priority="3" operator="containsText" text="▲">
      <formula>NOT(ISERROR(SEARCH("▲",P1)))</formula>
    </cfRule>
  </conditionalFormatting>
  <conditionalFormatting sqref="X11:X30">
    <cfRule type="cellIs" dxfId="37" priority="58" operator="equal">
      <formula>"Not Possible"</formula>
    </cfRule>
  </conditionalFormatting>
  <conditionalFormatting sqref="X39:X58">
    <cfRule type="cellIs" dxfId="36" priority="52" operator="equal">
      <formula>"Not Possible"</formula>
    </cfRule>
  </conditionalFormatting>
  <conditionalFormatting sqref="AG11:AG30">
    <cfRule type="cellIs" dxfId="35" priority="57" operator="equal">
      <formula>"Unacceptable Loss"</formula>
    </cfRule>
  </conditionalFormatting>
  <conditionalFormatting sqref="AJ66:AJ85">
    <cfRule type="cellIs" dxfId="34"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75" zeroHeight="1" x14ac:dyDescent="0.25"/>
  <cols>
    <col min="1" max="1" width="14.28515625" customWidth="1"/>
    <col min="2" max="2" width="30.5703125" customWidth="1"/>
    <col min="3" max="3" width="45.28515625" customWidth="1"/>
    <col min="4" max="4" width="76.42578125" customWidth="1"/>
    <col min="5" max="5" width="13" bestFit="1" customWidth="1"/>
    <col min="6" max="6" width="19.5703125" style="973"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x14ac:dyDescent="0.25">
      <c r="A1" s="520"/>
      <c r="B1" s="520"/>
      <c r="C1" s="520"/>
      <c r="D1" s="520"/>
      <c r="E1" s="520"/>
      <c r="F1" s="968"/>
      <c r="G1" s="520"/>
      <c r="H1" s="520"/>
      <c r="I1" s="520"/>
      <c r="J1" s="520"/>
      <c r="K1" s="520"/>
      <c r="L1" s="520"/>
      <c r="M1" s="520"/>
      <c r="N1" s="520"/>
      <c r="O1" s="520"/>
      <c r="P1" s="520"/>
      <c r="Q1" s="520"/>
      <c r="R1" s="520"/>
      <c r="S1" s="520"/>
      <c r="T1" s="520"/>
      <c r="U1" s="520"/>
      <c r="V1" s="520"/>
      <c r="W1" s="520"/>
      <c r="X1" s="520"/>
    </row>
    <row r="2" spans="1:24" ht="24.6" customHeight="1" x14ac:dyDescent="0.3">
      <c r="A2" s="520"/>
      <c r="B2" s="420" t="s">
        <v>68</v>
      </c>
      <c r="C2" s="419"/>
      <c r="D2" s="430" t="str">
        <f>IF('2. Site Details'!D4="","Enter site name on 2. Site Details",'2. Site Details'!D4)</f>
        <v>Kennally SSJ</v>
      </c>
      <c r="E2" s="429"/>
      <c r="F2" s="975"/>
      <c r="G2" s="538"/>
      <c r="H2" s="538"/>
      <c r="I2" s="538"/>
      <c r="J2" s="538"/>
      <c r="K2" s="538"/>
      <c r="L2" s="538"/>
      <c r="M2" s="538"/>
      <c r="N2" s="538"/>
      <c r="O2" s="538"/>
      <c r="P2" s="538"/>
      <c r="Q2" s="538"/>
      <c r="R2" s="538"/>
      <c r="S2" s="538"/>
      <c r="T2" s="538"/>
      <c r="U2" s="538"/>
      <c r="V2" s="538"/>
      <c r="W2" s="538"/>
      <c r="X2" s="520"/>
    </row>
    <row r="3" spans="1:24" ht="24.6" customHeight="1" x14ac:dyDescent="0.3">
      <c r="A3" s="520"/>
      <c r="B3" s="417" t="s">
        <v>16</v>
      </c>
      <c r="C3" s="416"/>
      <c r="D3" s="428" t="s">
        <v>276</v>
      </c>
      <c r="E3" s="427"/>
      <c r="F3" s="969"/>
      <c r="G3" s="538"/>
      <c r="H3" s="81"/>
      <c r="I3" s="81"/>
      <c r="J3" s="81"/>
      <c r="K3" s="81"/>
      <c r="L3" s="81"/>
      <c r="M3" s="81"/>
      <c r="N3" s="81"/>
      <c r="O3" s="81"/>
      <c r="P3" s="538"/>
      <c r="Q3" s="538"/>
      <c r="R3" s="538"/>
      <c r="S3" s="538"/>
      <c r="T3" s="538"/>
      <c r="U3" s="538"/>
      <c r="V3" s="538"/>
      <c r="W3" s="538"/>
      <c r="X3" s="520"/>
    </row>
    <row r="4" spans="1:24" ht="34.15" customHeight="1" x14ac:dyDescent="0.25">
      <c r="A4" s="520"/>
      <c r="B4" s="542" t="s">
        <v>276</v>
      </c>
      <c r="C4" s="520"/>
      <c r="D4" s="520"/>
      <c r="E4" s="520"/>
      <c r="F4" s="969"/>
      <c r="G4" s="538"/>
      <c r="H4" s="538"/>
      <c r="I4" s="538"/>
      <c r="J4" s="538"/>
      <c r="K4" s="538"/>
      <c r="L4" s="538"/>
      <c r="M4" s="538"/>
      <c r="N4" s="538"/>
      <c r="O4" s="538"/>
      <c r="P4" s="538"/>
      <c r="Q4" s="538"/>
      <c r="R4" s="538"/>
      <c r="S4" s="538"/>
      <c r="T4" s="538"/>
      <c r="U4" s="538"/>
      <c r="V4" s="538"/>
      <c r="W4" s="538"/>
      <c r="X4" s="520"/>
    </row>
    <row r="5" spans="1:24" ht="24.6" customHeight="1" x14ac:dyDescent="0.25">
      <c r="A5" s="520"/>
      <c r="B5" s="445" t="s">
        <v>277</v>
      </c>
      <c r="C5" s="80"/>
      <c r="D5" s="79" t="str">
        <f>IF(OR(D27&gt;0,D28&gt;0,D29&gt;0),"BNG Targets Not Met ▲","BNG Targets Met ✓")</f>
        <v>BNG Targets Met ✓</v>
      </c>
      <c r="E5" s="149"/>
      <c r="F5" s="969"/>
      <c r="G5" s="538"/>
      <c r="H5" s="538"/>
      <c r="I5" s="538"/>
      <c r="J5" s="538"/>
      <c r="K5" s="538"/>
      <c r="L5" s="538"/>
      <c r="M5" s="538"/>
      <c r="N5" s="538"/>
      <c r="O5" s="538"/>
      <c r="P5" s="538"/>
      <c r="Q5" s="538"/>
      <c r="R5" s="538"/>
      <c r="S5" s="538"/>
      <c r="T5" s="538"/>
      <c r="U5" s="538"/>
      <c r="V5" s="538"/>
      <c r="W5" s="538"/>
      <c r="X5" s="520"/>
    </row>
    <row r="6" spans="1:24" ht="24.6" customHeight="1" x14ac:dyDescent="0.3">
      <c r="A6" s="520"/>
      <c r="B6" s="520"/>
      <c r="C6" s="520"/>
      <c r="D6" s="650"/>
      <c r="E6" s="650"/>
      <c r="F6" s="969"/>
      <c r="G6" s="538"/>
      <c r="H6" s="538"/>
      <c r="I6" s="538"/>
      <c r="J6" s="538"/>
      <c r="K6" s="538"/>
      <c r="L6" s="538"/>
      <c r="M6" s="538"/>
      <c r="N6" s="538"/>
      <c r="O6" s="538"/>
      <c r="P6" s="538"/>
      <c r="Q6" s="538"/>
      <c r="R6" s="538"/>
      <c r="S6" s="538"/>
      <c r="T6" s="538"/>
      <c r="U6" s="538"/>
      <c r="V6" s="538"/>
      <c r="W6" s="538"/>
      <c r="X6" s="520"/>
    </row>
    <row r="7" spans="1:24" ht="24.6" customHeight="1" x14ac:dyDescent="0.25">
      <c r="A7" s="520"/>
      <c r="B7" s="445" t="s">
        <v>278</v>
      </c>
      <c r="C7" s="444"/>
      <c r="D7" s="78" t="str">
        <f ca="1">IF('5. Area Habitats'!J108+'5. Area Habitats'!J109+'6. Hedges &amp; Lines of Trees'!J97+'7. Watercourses'!J97&gt;0,"Trading Rules Not Satisfied ▲","Trading Rules Satisfied ✓")</f>
        <v>Trading Rules Satisfied ✓</v>
      </c>
      <c r="E7" s="77"/>
      <c r="F7" s="976"/>
      <c r="G7" s="862"/>
      <c r="H7" s="863"/>
      <c r="I7" s="864"/>
      <c r="J7" s="538"/>
      <c r="K7" s="538"/>
      <c r="L7" s="538"/>
      <c r="M7" s="538"/>
      <c r="N7" s="538"/>
      <c r="O7" s="538"/>
      <c r="P7" s="538"/>
      <c r="Q7" s="538"/>
      <c r="R7" s="538"/>
      <c r="S7" s="538"/>
      <c r="T7" s="538"/>
      <c r="U7" s="538"/>
      <c r="V7" s="538"/>
      <c r="W7" s="538"/>
      <c r="X7" s="520"/>
    </row>
    <row r="8" spans="1:24" ht="24.6" customHeight="1" x14ac:dyDescent="0.3">
      <c r="A8" s="520"/>
      <c r="B8" s="520"/>
      <c r="C8" s="520"/>
      <c r="D8" s="650"/>
      <c r="E8" s="650"/>
      <c r="F8" s="976"/>
      <c r="G8" s="538"/>
      <c r="H8" s="538"/>
      <c r="I8" s="538"/>
      <c r="J8" s="538"/>
      <c r="K8" s="538"/>
      <c r="L8" s="538"/>
      <c r="M8" s="538"/>
      <c r="N8" s="538"/>
      <c r="O8" s="538"/>
      <c r="P8" s="538"/>
      <c r="Q8" s="538"/>
      <c r="R8" s="538"/>
      <c r="S8" s="538"/>
      <c r="T8" s="538"/>
      <c r="U8" s="538"/>
      <c r="V8" s="538"/>
      <c r="W8" s="538"/>
      <c r="X8" s="520"/>
    </row>
    <row r="9" spans="1:24" ht="24.6" customHeight="1" x14ac:dyDescent="0.25">
      <c r="A9" s="520"/>
      <c r="B9" s="445" t="s">
        <v>279</v>
      </c>
      <c r="C9" s="80"/>
      <c r="D9" s="76" t="str">
        <f ca="1">IF(OR(D5="BNG Targets Not Met ▲",D7="Trading Rules Not Satisfied ▲"),"Scheme alterations or offsite units required","Check for input errors/rule breaks present in the metric ⚠")</f>
        <v>Check for input errors/rule breaks present in the metric ⚠</v>
      </c>
      <c r="E9" s="75"/>
      <c r="F9" s="969"/>
      <c r="G9" s="524"/>
      <c r="H9" s="524"/>
      <c r="I9" s="524"/>
      <c r="J9" s="524"/>
      <c r="K9" s="524"/>
      <c r="L9" s="524"/>
      <c r="M9" s="524"/>
      <c r="N9" s="524"/>
      <c r="O9" s="524"/>
      <c r="P9" s="524"/>
      <c r="Q9" s="540"/>
      <c r="R9" s="524"/>
      <c r="S9" s="538"/>
      <c r="T9" s="538"/>
      <c r="U9" s="538"/>
      <c r="V9" s="538"/>
      <c r="W9" s="538"/>
      <c r="X9" s="520"/>
    </row>
    <row r="10" spans="1:24" ht="43.5" customHeight="1" x14ac:dyDescent="0.25">
      <c r="A10" s="520"/>
      <c r="B10" s="520"/>
      <c r="C10" s="520"/>
      <c r="D10" s="74"/>
      <c r="E10" s="74"/>
      <c r="F10" s="969" t="s">
        <v>280</v>
      </c>
      <c r="G10" s="524"/>
      <c r="H10" s="524"/>
      <c r="I10" s="524"/>
      <c r="J10" s="524"/>
      <c r="K10" s="524"/>
      <c r="L10" s="524"/>
      <c r="M10" s="524"/>
      <c r="N10" s="524"/>
      <c r="O10" s="524"/>
      <c r="P10" s="524"/>
      <c r="Q10" s="540"/>
      <c r="R10" s="524"/>
      <c r="S10" s="538"/>
      <c r="T10" s="538"/>
      <c r="U10" s="538"/>
      <c r="V10" s="538"/>
      <c r="W10" s="538"/>
      <c r="X10" s="520"/>
    </row>
    <row r="11" spans="1:24" ht="24.6" customHeight="1" x14ac:dyDescent="0.25">
      <c r="A11" s="520"/>
      <c r="B11" s="73" t="s">
        <v>281</v>
      </c>
      <c r="C11" s="753" t="s">
        <v>282</v>
      </c>
      <c r="D11" s="962">
        <f>IF('5. Area Habitats'!L32=0,"Zero Units Baseline",'5. Area Habitats'!L32)</f>
        <v>0.18197216000000002</v>
      </c>
      <c r="E11" s="963"/>
      <c r="F11" s="969">
        <f>('2. Site Details'!$D$13/100)*$D$11</f>
        <v>1.8197216000000002E-2</v>
      </c>
      <c r="G11" s="858"/>
      <c r="H11" s="524"/>
      <c r="I11" s="524"/>
      <c r="J11" s="524"/>
      <c r="K11" s="524"/>
      <c r="L11" s="524"/>
      <c r="M11" s="524"/>
      <c r="N11" s="524"/>
      <c r="O11" s="524"/>
      <c r="P11" s="524"/>
      <c r="Q11" s="540"/>
      <c r="R11" s="524"/>
      <c r="S11" s="538"/>
      <c r="T11" s="538"/>
      <c r="U11" s="538"/>
      <c r="V11" s="538"/>
      <c r="W11" s="538"/>
      <c r="X11" s="520"/>
    </row>
    <row r="12" spans="1:24" ht="24.6" customHeight="1" x14ac:dyDescent="0.25">
      <c r="A12" s="520"/>
      <c r="B12" s="72"/>
      <c r="C12" s="754" t="s">
        <v>283</v>
      </c>
      <c r="D12" s="964">
        <f>IF('6. Hedges &amp; Lines of Trees'!L31=0,"Zero Units Baseline",'6. Hedges &amp; Lines of Trees'!L31)</f>
        <v>0.24021319999999996</v>
      </c>
      <c r="E12" s="965"/>
      <c r="F12" s="969">
        <f>('2. Site Details'!$D$14/100)*$D$12</f>
        <v>2.4021319999999999E-2</v>
      </c>
      <c r="G12" s="859"/>
      <c r="H12" s="524"/>
      <c r="I12" s="524"/>
      <c r="J12" s="524"/>
      <c r="K12" s="524"/>
      <c r="L12" s="524"/>
      <c r="M12" s="524"/>
      <c r="N12" s="524"/>
      <c r="O12" s="524"/>
      <c r="P12" s="524"/>
      <c r="Q12" s="540"/>
      <c r="R12" s="524"/>
      <c r="S12" s="538"/>
      <c r="T12" s="538"/>
      <c r="U12" s="538"/>
      <c r="V12" s="538"/>
      <c r="W12" s="538"/>
      <c r="X12" s="520"/>
    </row>
    <row r="13" spans="1:24" ht="24.6" customHeight="1" x14ac:dyDescent="0.25">
      <c r="A13" s="520"/>
      <c r="B13" s="71"/>
      <c r="C13" s="755" t="s">
        <v>284</v>
      </c>
      <c r="D13" s="966" t="str">
        <f>IF('7. Watercourses'!L31=0,"Zero Units Baseline",'7. Watercourses'!L31)</f>
        <v>Zero Units Baseline</v>
      </c>
      <c r="E13" s="967"/>
      <c r="F13" s="969" t="e">
        <f>('2. Site Details'!$D$15/100)*$D$13</f>
        <v>#VALUE!</v>
      </c>
      <c r="G13" s="860"/>
      <c r="H13" s="524"/>
      <c r="I13" s="524"/>
      <c r="J13" s="524"/>
      <c r="K13" s="524"/>
      <c r="L13" s="524"/>
      <c r="M13" s="524"/>
      <c r="N13" s="524"/>
      <c r="O13" s="524"/>
      <c r="P13" s="524"/>
      <c r="Q13" s="540"/>
      <c r="R13" s="524"/>
      <c r="S13" s="538"/>
      <c r="T13" s="538"/>
      <c r="U13" s="538"/>
      <c r="V13" s="538"/>
      <c r="W13" s="538"/>
      <c r="X13" s="520"/>
    </row>
    <row r="14" spans="1:24" ht="24.6" customHeight="1" x14ac:dyDescent="0.3">
      <c r="A14" s="520"/>
      <c r="B14" s="520"/>
      <c r="C14" s="520"/>
      <c r="D14" s="650"/>
      <c r="E14" s="650"/>
      <c r="F14" s="969" t="s">
        <v>285</v>
      </c>
      <c r="G14" s="524"/>
      <c r="H14" s="524"/>
      <c r="I14" s="524"/>
      <c r="J14" s="524"/>
      <c r="K14" s="524"/>
      <c r="L14" s="524"/>
      <c r="M14" s="524"/>
      <c r="N14" s="524"/>
      <c r="O14" s="524"/>
      <c r="P14" s="524"/>
      <c r="Q14" s="540"/>
      <c r="R14" s="524"/>
      <c r="S14" s="538"/>
      <c r="T14" s="538"/>
      <c r="U14" s="538"/>
      <c r="V14" s="538"/>
      <c r="W14" s="538"/>
      <c r="X14" s="520"/>
    </row>
    <row r="15" spans="1:24" ht="24.6" customHeight="1" x14ac:dyDescent="0.25">
      <c r="A15" s="520"/>
      <c r="B15" s="73" t="s">
        <v>286</v>
      </c>
      <c r="C15" s="753" t="s">
        <v>282</v>
      </c>
      <c r="D15" s="962">
        <f>'5. Area Habitats'!P3+'5. Area Habitats'!P4+'5. Area Habitats'!P1</f>
        <v>0.20034727648077943</v>
      </c>
      <c r="E15" s="963"/>
      <c r="F15" s="970">
        <f>D11+F11</f>
        <v>0.20016937600000001</v>
      </c>
      <c r="G15" s="524"/>
      <c r="H15" s="524"/>
      <c r="I15" s="524"/>
      <c r="J15" s="524"/>
      <c r="K15" s="524"/>
      <c r="L15" s="524"/>
      <c r="M15" s="524"/>
      <c r="N15" s="524"/>
      <c r="O15" s="524"/>
      <c r="P15" s="524"/>
      <c r="Q15" s="540"/>
      <c r="R15" s="524"/>
      <c r="S15" s="538"/>
      <c r="T15" s="538"/>
      <c r="U15" s="538"/>
      <c r="V15" s="538"/>
      <c r="W15" s="538"/>
      <c r="X15" s="520"/>
    </row>
    <row r="16" spans="1:24" ht="24.6" customHeight="1" x14ac:dyDescent="0.25">
      <c r="A16" s="520"/>
      <c r="B16" s="72"/>
      <c r="C16" s="754" t="s">
        <v>283</v>
      </c>
      <c r="D16" s="964">
        <f>'6. Hedges &amp; Lines of Trees'!P3+'6. Hedges &amp; Lines of Trees'!P4+'6. Hedges &amp; Lines of Trees'!P1</f>
        <v>0.29865454147243542</v>
      </c>
      <c r="E16" s="965"/>
      <c r="F16" s="970">
        <f>D12+F12</f>
        <v>0.26423451999999997</v>
      </c>
      <c r="G16" s="524"/>
      <c r="H16" s="524"/>
      <c r="I16" s="524"/>
      <c r="J16" s="524"/>
      <c r="K16" s="524"/>
      <c r="L16" s="524"/>
      <c r="M16" s="524"/>
      <c r="N16" s="524"/>
      <c r="O16" s="524"/>
      <c r="P16" s="524"/>
      <c r="Q16" s="540"/>
      <c r="R16" s="524"/>
      <c r="S16" s="538"/>
      <c r="T16" s="538"/>
      <c r="U16" s="538"/>
      <c r="V16" s="538"/>
      <c r="W16" s="538"/>
      <c r="X16" s="520"/>
    </row>
    <row r="17" spans="1:24" ht="24.6" customHeight="1" x14ac:dyDescent="0.25">
      <c r="A17" s="520"/>
      <c r="B17" s="71"/>
      <c r="C17" s="755" t="s">
        <v>284</v>
      </c>
      <c r="D17" s="966">
        <f>'7. Watercourses'!P3+'7. Watercourses'!P4+'7. Watercourses'!P1</f>
        <v>0</v>
      </c>
      <c r="E17" s="967"/>
      <c r="F17" s="970" t="e">
        <f>D13+F13</f>
        <v>#VALUE!</v>
      </c>
      <c r="G17" s="524"/>
      <c r="H17" s="524"/>
      <c r="I17" s="524"/>
      <c r="J17" s="524"/>
      <c r="K17" s="524"/>
      <c r="L17" s="524"/>
      <c r="M17" s="524"/>
      <c r="N17" s="524"/>
      <c r="O17" s="524"/>
      <c r="P17" s="524"/>
      <c r="Q17" s="540"/>
      <c r="R17" s="524"/>
      <c r="S17" s="538"/>
      <c r="T17" s="538"/>
      <c r="U17" s="538"/>
      <c r="V17" s="538"/>
      <c r="W17" s="538"/>
      <c r="X17" s="520"/>
    </row>
    <row r="18" spans="1:24" ht="24.6" customHeight="1" x14ac:dyDescent="0.3">
      <c r="A18" s="520"/>
      <c r="B18" s="520"/>
      <c r="C18" s="520"/>
      <c r="D18" s="650"/>
      <c r="E18" s="650"/>
      <c r="F18" s="969"/>
      <c r="G18" s="524"/>
      <c r="H18" s="524"/>
      <c r="I18" s="524"/>
      <c r="J18" s="524"/>
      <c r="K18" s="524"/>
      <c r="L18" s="524"/>
      <c r="M18" s="524"/>
      <c r="N18" s="524"/>
      <c r="O18" s="524"/>
      <c r="P18" s="524"/>
      <c r="Q18" s="540"/>
      <c r="R18" s="524"/>
      <c r="S18" s="538"/>
      <c r="T18" s="538"/>
      <c r="U18" s="538"/>
      <c r="V18" s="538"/>
      <c r="W18" s="538"/>
      <c r="X18" s="520"/>
    </row>
    <row r="19" spans="1:24" ht="24.6" customHeight="1" x14ac:dyDescent="0.25">
      <c r="A19" s="520"/>
      <c r="B19" s="73" t="s">
        <v>287</v>
      </c>
      <c r="C19" s="1007" t="s">
        <v>282</v>
      </c>
      <c r="D19" s="1012">
        <f>'5. Area Habitats'!P5</f>
        <v>1.8375116480779413E-2</v>
      </c>
      <c r="E19" s="1013" t="str" cm="1">
        <f t="array" ref="E19">_xlfn.IFS(D19&gt;=F11,"✓",D19&lt;0,"▲", D19&lt;F11,"⚠")</f>
        <v>✓</v>
      </c>
      <c r="F19" s="971">
        <f>F11/D11</f>
        <v>0.1</v>
      </c>
      <c r="G19" s="524"/>
      <c r="H19" s="524"/>
      <c r="I19" s="524"/>
      <c r="J19" s="524"/>
      <c r="K19" s="524"/>
      <c r="L19" s="524"/>
      <c r="M19" s="524"/>
      <c r="N19" s="524"/>
      <c r="O19" s="524"/>
      <c r="P19" s="524"/>
      <c r="Q19" s="540"/>
      <c r="R19" s="524"/>
      <c r="S19" s="538"/>
      <c r="T19" s="538"/>
      <c r="U19" s="538"/>
      <c r="V19" s="538"/>
      <c r="W19" s="538"/>
      <c r="X19" s="520"/>
    </row>
    <row r="20" spans="1:24" ht="24.6" customHeight="1" x14ac:dyDescent="0.25">
      <c r="A20" s="520"/>
      <c r="B20" s="72"/>
      <c r="C20" s="1008" t="s">
        <v>283</v>
      </c>
      <c r="D20" s="1014">
        <f>'6. Hedges &amp; Lines of Trees'!P5</f>
        <v>5.844134147243546E-2</v>
      </c>
      <c r="E20" s="1015" t="str" cm="1">
        <f t="array" ref="E20">_xlfn.IFS(D20&gt;=F12,"✓",D20&lt;0,"▲", D20&lt;F12,"⚠")</f>
        <v>✓</v>
      </c>
      <c r="F20" s="971">
        <f>F12/D12</f>
        <v>0.1</v>
      </c>
      <c r="G20" s="524"/>
      <c r="H20" s="524"/>
      <c r="I20" s="524"/>
      <c r="J20" s="524"/>
      <c r="K20" s="524"/>
      <c r="L20" s="524"/>
      <c r="M20" s="524"/>
      <c r="N20" s="524"/>
      <c r="O20" s="524"/>
      <c r="P20" s="524"/>
      <c r="Q20" s="540"/>
      <c r="R20" s="524"/>
      <c r="S20" s="538"/>
      <c r="T20" s="538"/>
      <c r="U20" s="538"/>
      <c r="V20" s="538"/>
      <c r="W20" s="538"/>
      <c r="X20" s="520"/>
    </row>
    <row r="21" spans="1:24" ht="24.6" customHeight="1" x14ac:dyDescent="0.25">
      <c r="A21" s="520"/>
      <c r="B21" s="71"/>
      <c r="C21" s="1009" t="s">
        <v>284</v>
      </c>
      <c r="D21" s="1010">
        <f>'7. Watercourses'!P5</f>
        <v>0</v>
      </c>
      <c r="E21" s="1011" t="e" cm="1">
        <f t="array" ref="E21">_xlfn.IFS(D21&gt;=F13,"✓",D21&lt;0,"▲", D21&lt;F13,"⚠")</f>
        <v>#VALUE!</v>
      </c>
      <c r="F21" s="971" t="e">
        <f>F13/D13</f>
        <v>#VALUE!</v>
      </c>
      <c r="G21" s="524"/>
      <c r="H21" s="524"/>
      <c r="I21" s="524"/>
      <c r="J21" s="524"/>
      <c r="K21" s="524"/>
      <c r="L21" s="524"/>
      <c r="M21" s="524"/>
      <c r="N21" s="524"/>
      <c r="O21" s="524"/>
      <c r="P21" s="524"/>
      <c r="Q21" s="540"/>
      <c r="R21" s="524"/>
      <c r="S21" s="538"/>
      <c r="T21" s="538"/>
      <c r="U21" s="538"/>
      <c r="V21" s="538"/>
      <c r="W21" s="538"/>
      <c r="X21" s="520"/>
    </row>
    <row r="22" spans="1:24" ht="24.6" customHeight="1" x14ac:dyDescent="0.3">
      <c r="A22" s="520"/>
      <c r="B22" s="522"/>
      <c r="C22" s="632"/>
      <c r="D22" s="530"/>
      <c r="E22" s="530"/>
      <c r="F22" s="969"/>
      <c r="G22" s="524"/>
      <c r="H22" s="524"/>
      <c r="I22" s="524"/>
      <c r="J22" s="524"/>
      <c r="K22" s="524"/>
      <c r="L22" s="524"/>
      <c r="M22" s="524"/>
      <c r="N22" s="524"/>
      <c r="O22" s="524"/>
      <c r="P22" s="524"/>
      <c r="Q22" s="540"/>
      <c r="R22" s="524"/>
      <c r="S22" s="538"/>
      <c r="T22" s="538"/>
      <c r="U22" s="538"/>
      <c r="V22" s="538"/>
      <c r="W22" s="538"/>
      <c r="X22" s="520"/>
    </row>
    <row r="23" spans="1:24" ht="24.6" customHeight="1" x14ac:dyDescent="0.25">
      <c r="A23" s="520"/>
      <c r="B23" s="230" t="s">
        <v>288</v>
      </c>
      <c r="C23" s="1007" t="s">
        <v>282</v>
      </c>
      <c r="D23" s="1016">
        <f>IF(D11="Zero Units Baseline","% target not appropriate",D19/D11)</f>
        <v>0.10097762471346942</v>
      </c>
      <c r="E23" s="1017" t="str" cm="1">
        <f t="array" ref="E23">_xlfn.IFS(D23&gt;=F19,"✓",D23&lt;0,"▲", D23&lt;F19,"⚠")</f>
        <v>✓</v>
      </c>
      <c r="F23" s="969">
        <f>$D$23*100</f>
        <v>10.097762471346943</v>
      </c>
      <c r="G23" s="524"/>
      <c r="H23" s="524"/>
      <c r="I23" s="524"/>
      <c r="J23" s="524"/>
      <c r="K23" s="524"/>
      <c r="L23" s="524"/>
      <c r="M23" s="524"/>
      <c r="N23" s="524"/>
      <c r="O23" s="524"/>
      <c r="P23" s="524"/>
      <c r="Q23" s="540"/>
      <c r="R23" s="524"/>
      <c r="S23" s="538"/>
      <c r="T23" s="538"/>
      <c r="U23" s="538"/>
      <c r="V23" s="538"/>
      <c r="W23" s="538"/>
      <c r="X23" s="520"/>
    </row>
    <row r="24" spans="1:24" ht="24.6" customHeight="1" x14ac:dyDescent="0.25">
      <c r="A24" s="520"/>
      <c r="B24" s="70"/>
      <c r="C24" s="1008" t="s">
        <v>283</v>
      </c>
      <c r="D24" s="1018">
        <f>IF(D12="Zero Units Baseline","% target not appropriate",D20/D12)</f>
        <v>0.24328946732500742</v>
      </c>
      <c r="E24" s="1019" t="str" cm="1">
        <f t="array" ref="E24">_xlfn.IFS(D24&gt;=F20,"✓",D24&lt;0,"▲", D24&lt;F20,"⚠")</f>
        <v>✓</v>
      </c>
      <c r="F24" s="969">
        <f>$D$24*100</f>
        <v>24.328946732500743</v>
      </c>
      <c r="G24" s="524"/>
      <c r="H24" s="524"/>
      <c r="I24" s="524"/>
      <c r="J24" s="524"/>
      <c r="K24" s="524"/>
      <c r="L24" s="524"/>
      <c r="M24" s="524"/>
      <c r="N24" s="524"/>
      <c r="O24" s="524"/>
      <c r="P24" s="524"/>
      <c r="Q24" s="540"/>
      <c r="R24" s="524"/>
      <c r="S24" s="538"/>
      <c r="T24" s="538"/>
      <c r="U24" s="538"/>
      <c r="V24" s="538"/>
      <c r="W24" s="538"/>
      <c r="X24" s="520"/>
    </row>
    <row r="25" spans="1:24" ht="24.6" customHeight="1" x14ac:dyDescent="0.25">
      <c r="A25" s="520"/>
      <c r="B25" s="69"/>
      <c r="C25" s="1009" t="s">
        <v>284</v>
      </c>
      <c r="D25" s="1020" t="str">
        <f>IF(D13="Zero Units Baseline","% target not appropriate",D21/D13)</f>
        <v>% target not appropriate</v>
      </c>
      <c r="E25" s="1021" t="e" cm="1">
        <f t="array" ref="E25">_xlfn.IFS(D25&gt;=F21,"✓",D25&lt;0,"▲", D25&lt;F21,"⚠")</f>
        <v>#VALUE!</v>
      </c>
      <c r="F25" s="969" t="e">
        <f>$D$25*100</f>
        <v>#VALUE!</v>
      </c>
      <c r="G25" s="524"/>
      <c r="H25" s="524"/>
      <c r="I25" s="524"/>
      <c r="J25" s="524"/>
      <c r="K25" s="524"/>
      <c r="L25" s="524"/>
      <c r="M25" s="524"/>
      <c r="N25" s="524"/>
      <c r="O25" s="524"/>
      <c r="P25" s="524"/>
      <c r="Q25" s="540"/>
      <c r="R25" s="524"/>
      <c r="S25" s="538"/>
      <c r="T25" s="538"/>
      <c r="U25" s="538"/>
      <c r="V25" s="538"/>
      <c r="W25" s="538"/>
      <c r="X25" s="520"/>
    </row>
    <row r="26" spans="1:24" ht="24.6" customHeight="1" x14ac:dyDescent="0.3">
      <c r="A26" s="520"/>
      <c r="B26" s="520"/>
      <c r="C26" s="520"/>
      <c r="D26" s="650"/>
      <c r="E26" s="650"/>
      <c r="F26" s="969"/>
      <c r="G26" s="524"/>
      <c r="H26" s="524"/>
      <c r="I26" s="524"/>
      <c r="J26" s="524"/>
      <c r="K26" s="524"/>
      <c r="L26" s="524"/>
      <c r="M26" s="524"/>
      <c r="N26" s="524"/>
      <c r="O26" s="524"/>
      <c r="P26" s="524"/>
      <c r="Q26" s="540"/>
      <c r="R26" s="524"/>
      <c r="S26" s="538"/>
      <c r="T26" s="538"/>
      <c r="U26" s="538"/>
      <c r="V26" s="538"/>
      <c r="W26" s="538"/>
      <c r="X26" s="520"/>
    </row>
    <row r="27" spans="1:24" ht="24.6" customHeight="1" x14ac:dyDescent="0.25">
      <c r="A27" s="520"/>
      <c r="B27" s="68" t="s">
        <v>289</v>
      </c>
      <c r="C27" s="67"/>
      <c r="D27" s="66">
        <f>IFERROR(IF(D11="Zero Units Baseline",IF('2. Site Details'!D17&lt;=D15,0,'2. Site Details'!D17-D15),(IF((D11*(1+('2. Site Details'!D13/100)))-D15&lt;0,0,F15-D15))),"")</f>
        <v>0</v>
      </c>
      <c r="E27" s="65"/>
      <c r="F27" s="969"/>
      <c r="G27" s="524"/>
      <c r="H27" s="524"/>
      <c r="I27" s="524"/>
      <c r="J27" s="524"/>
      <c r="K27" s="524"/>
      <c r="L27" s="524"/>
      <c r="M27" s="524"/>
      <c r="N27" s="524"/>
      <c r="O27" s="524"/>
      <c r="P27" s="524"/>
      <c r="Q27" s="540"/>
      <c r="R27" s="524"/>
      <c r="S27" s="538"/>
      <c r="T27" s="538"/>
      <c r="U27" s="538"/>
      <c r="V27" s="538"/>
      <c r="W27" s="538"/>
      <c r="X27" s="520"/>
    </row>
    <row r="28" spans="1:24" ht="24.6" customHeight="1" x14ac:dyDescent="0.25">
      <c r="A28" s="520"/>
      <c r="B28" s="64" t="s">
        <v>290</v>
      </c>
      <c r="C28" s="63"/>
      <c r="D28" s="62">
        <f>IFERROR(IF(D12="Zero Units Baseline",IF('2. Site Details'!D18&lt;=D16,0,'2. Site Details'!D18-D16),(IF((D12*(1+('2. Site Details'!D14/100)))-D16&lt;0,0,F16-D16))),"")</f>
        <v>0</v>
      </c>
      <c r="E28" s="61"/>
      <c r="F28" s="969"/>
      <c r="G28" s="645"/>
      <c r="H28" s="524"/>
      <c r="I28" s="524"/>
      <c r="J28" s="524"/>
      <c r="K28" s="524"/>
      <c r="L28" s="524"/>
      <c r="M28" s="524"/>
      <c r="N28" s="524"/>
      <c r="O28" s="524"/>
      <c r="P28" s="524"/>
      <c r="Q28" s="540"/>
      <c r="R28" s="524"/>
      <c r="S28" s="538"/>
      <c r="T28" s="538"/>
      <c r="U28" s="538"/>
      <c r="V28" s="538"/>
      <c r="W28" s="538"/>
      <c r="X28" s="520"/>
    </row>
    <row r="29" spans="1:24" ht="24.6" customHeight="1" x14ac:dyDescent="0.25">
      <c r="A29" s="520"/>
      <c r="B29" s="60" t="s">
        <v>291</v>
      </c>
      <c r="C29" s="59"/>
      <c r="D29" s="58">
        <f>IFERROR(IF(D13="Zero Units Baseline",IF('2. Site Details'!D19&lt;=D17,0,'2. Site Details'!D19-D17),(IF((D13*(1+('2. Site Details'!D15/100)))-D17&lt;0,0,F17-D17))),"")</f>
        <v>0</v>
      </c>
      <c r="E29" s="57"/>
      <c r="F29" s="969"/>
      <c r="G29" s="524"/>
      <c r="H29" s="524"/>
      <c r="I29" s="524"/>
      <c r="J29" s="524"/>
      <c r="K29" s="524"/>
      <c r="L29" s="524"/>
      <c r="M29" s="524"/>
      <c r="N29" s="524"/>
      <c r="O29" s="524"/>
      <c r="P29" s="524"/>
      <c r="Q29" s="540"/>
      <c r="R29" s="524"/>
      <c r="S29" s="538"/>
      <c r="T29" s="538"/>
      <c r="U29" s="538"/>
      <c r="V29" s="538"/>
      <c r="W29" s="538"/>
      <c r="X29" s="520"/>
    </row>
    <row r="30" spans="1:24" ht="10.15" customHeight="1" x14ac:dyDescent="0.3">
      <c r="A30" s="520"/>
      <c r="B30" s="520"/>
      <c r="C30" s="520"/>
      <c r="D30" s="650"/>
      <c r="E30" s="650"/>
      <c r="F30" s="969"/>
      <c r="G30" s="524"/>
      <c r="H30" s="524"/>
      <c r="I30" s="524"/>
      <c r="J30" s="524"/>
      <c r="K30" s="524"/>
      <c r="L30" s="524"/>
      <c r="M30" s="524"/>
      <c r="N30" s="524"/>
      <c r="O30" s="524"/>
      <c r="P30" s="524"/>
      <c r="Q30" s="540"/>
      <c r="R30" s="524"/>
      <c r="S30" s="538"/>
      <c r="T30" s="538"/>
      <c r="U30" s="538"/>
      <c r="V30" s="538"/>
      <c r="W30" s="538"/>
      <c r="X30" s="520"/>
    </row>
    <row r="31" spans="1:24" ht="19.899999999999999" customHeight="1" x14ac:dyDescent="0.3">
      <c r="A31" s="520"/>
      <c r="B31" s="542"/>
      <c r="C31" s="520"/>
      <c r="D31" s="650"/>
      <c r="E31" s="650"/>
      <c r="F31" s="969"/>
      <c r="G31" s="524"/>
      <c r="H31" s="524"/>
      <c r="I31" s="524"/>
      <c r="J31" s="524"/>
      <c r="K31" s="524"/>
      <c r="L31" s="524"/>
      <c r="M31" s="524"/>
      <c r="N31" s="524"/>
      <c r="O31" s="524"/>
      <c r="P31" s="524"/>
      <c r="Q31" s="540"/>
      <c r="R31" s="524"/>
      <c r="S31" s="538"/>
      <c r="T31" s="538"/>
      <c r="U31" s="538"/>
      <c r="V31" s="538"/>
      <c r="W31" s="538"/>
      <c r="X31" s="520"/>
    </row>
    <row r="32" spans="1:24" ht="9" customHeight="1" x14ac:dyDescent="0.3">
      <c r="A32" s="520"/>
      <c r="B32" s="520"/>
      <c r="C32" s="520"/>
      <c r="D32" s="650"/>
      <c r="E32" s="650"/>
      <c r="F32" s="969"/>
      <c r="G32" s="520"/>
      <c r="H32" s="524"/>
      <c r="I32" s="524"/>
      <c r="J32" s="524"/>
      <c r="K32" s="524"/>
      <c r="L32" s="524"/>
      <c r="M32" s="524"/>
      <c r="N32" s="524"/>
      <c r="O32" s="524"/>
      <c r="P32" s="524"/>
      <c r="Q32" s="540"/>
      <c r="R32" s="524"/>
      <c r="S32" s="538"/>
      <c r="T32" s="538"/>
      <c r="U32" s="538"/>
      <c r="V32" s="538"/>
      <c r="W32" s="538"/>
      <c r="X32" s="520"/>
    </row>
    <row r="33" spans="1:24" ht="23.65" customHeight="1" x14ac:dyDescent="0.3">
      <c r="A33" s="520"/>
      <c r="B33" s="542" t="s">
        <v>292</v>
      </c>
      <c r="C33" s="520"/>
      <c r="D33" s="650"/>
      <c r="E33" s="650"/>
      <c r="F33" s="969"/>
      <c r="G33" s="524"/>
      <c r="H33" s="524"/>
      <c r="I33" s="524"/>
      <c r="J33" s="524"/>
      <c r="K33" s="524"/>
      <c r="L33" s="524"/>
      <c r="M33" s="524"/>
      <c r="N33" s="524"/>
      <c r="O33" s="524"/>
      <c r="P33" s="524"/>
      <c r="Q33" s="540"/>
      <c r="R33" s="524"/>
      <c r="S33" s="520"/>
      <c r="T33" s="520"/>
      <c r="U33" s="520"/>
      <c r="V33" s="520"/>
      <c r="W33" s="520"/>
      <c r="X33" s="520"/>
    </row>
    <row r="34" spans="1:24" s="541" customFormat="1" ht="23.65" customHeight="1" x14ac:dyDescent="0.3">
      <c r="A34" s="524"/>
      <c r="B34" s="542"/>
      <c r="C34" s="520"/>
      <c r="D34" s="650"/>
      <c r="E34" s="650"/>
      <c r="F34" s="969"/>
      <c r="G34" s="520"/>
      <c r="H34" s="520"/>
      <c r="I34" s="520"/>
      <c r="J34" s="520"/>
      <c r="K34" s="520"/>
      <c r="L34" s="520"/>
      <c r="M34" s="520"/>
      <c r="N34" s="520"/>
      <c r="O34" s="520"/>
      <c r="P34" s="524"/>
      <c r="Q34" s="540"/>
      <c r="R34" s="524"/>
      <c r="S34" s="524"/>
      <c r="T34" s="524"/>
      <c r="U34" s="524"/>
      <c r="V34" s="524"/>
      <c r="W34" s="524"/>
      <c r="X34" s="524"/>
    </row>
    <row r="35" spans="1:24" s="541" customFormat="1" ht="23.65" customHeight="1" x14ac:dyDescent="0.25">
      <c r="A35" s="524"/>
      <c r="B35" s="520"/>
      <c r="C35" s="520" t="s">
        <v>293</v>
      </c>
      <c r="D35" s="520" t="s">
        <v>294</v>
      </c>
      <c r="E35" s="538"/>
      <c r="F35" s="969"/>
      <c r="G35" s="520"/>
      <c r="H35" s="520"/>
      <c r="I35" s="520"/>
      <c r="J35" s="520"/>
      <c r="K35" s="520"/>
      <c r="L35" s="520"/>
      <c r="M35" s="520"/>
      <c r="N35" s="520"/>
      <c r="O35" s="520"/>
      <c r="P35" s="524"/>
      <c r="Q35" s="540"/>
      <c r="R35" s="524"/>
      <c r="S35" s="524"/>
      <c r="T35" s="524"/>
      <c r="U35" s="524"/>
      <c r="V35" s="524"/>
      <c r="W35" s="524"/>
      <c r="X35" s="524"/>
    </row>
    <row r="36" spans="1:24" ht="23.65" customHeight="1" x14ac:dyDescent="0.25">
      <c r="A36" s="520"/>
      <c r="B36" s="861" t="s">
        <v>282</v>
      </c>
      <c r="C36" s="537">
        <f>IF(D11="Zero Units Baseline",0,D11)</f>
        <v>0.18197216000000002</v>
      </c>
      <c r="D36" s="537">
        <f>D15</f>
        <v>0.20034727648077943</v>
      </c>
      <c r="E36" s="538"/>
      <c r="F36" s="969"/>
      <c r="G36" s="520"/>
      <c r="H36" s="520"/>
      <c r="I36" s="520"/>
      <c r="J36" s="520"/>
      <c r="K36" s="520"/>
      <c r="L36" s="520"/>
      <c r="M36" s="520"/>
      <c r="N36" s="520"/>
      <c r="O36" s="520"/>
      <c r="P36" s="520"/>
      <c r="Q36" s="540"/>
      <c r="R36" s="524"/>
      <c r="S36" s="524"/>
      <c r="T36" s="524"/>
      <c r="U36" s="524"/>
      <c r="V36" s="524"/>
      <c r="W36" s="524"/>
      <c r="X36" s="520"/>
    </row>
    <row r="37" spans="1:24" ht="23.65" customHeight="1" x14ac:dyDescent="0.25">
      <c r="A37" s="520"/>
      <c r="B37" s="861" t="s">
        <v>283</v>
      </c>
      <c r="C37" s="537">
        <f>IF(D12="Zero Units Baseline",0,D12)</f>
        <v>0.24021319999999996</v>
      </c>
      <c r="D37" s="537">
        <f>D16</f>
        <v>0.29865454147243542</v>
      </c>
      <c r="E37" s="538"/>
      <c r="F37" s="969"/>
      <c r="G37" s="520"/>
      <c r="H37" s="520"/>
      <c r="I37" s="520"/>
      <c r="J37" s="520"/>
      <c r="K37" s="520"/>
      <c r="L37" s="520"/>
      <c r="M37" s="520"/>
      <c r="N37" s="520"/>
      <c r="O37" s="520"/>
      <c r="P37" s="520"/>
      <c r="Q37" s="540"/>
      <c r="R37" s="524"/>
      <c r="S37" s="524"/>
      <c r="T37" s="524"/>
      <c r="U37" s="524"/>
      <c r="V37" s="524"/>
      <c r="W37" s="524"/>
      <c r="X37" s="520"/>
    </row>
    <row r="38" spans="1:24" ht="23.65" customHeight="1" x14ac:dyDescent="0.25">
      <c r="A38" s="520"/>
      <c r="B38" s="861" t="s">
        <v>295</v>
      </c>
      <c r="C38" s="537">
        <f>IF(D13="Zero Units Baseline",0,D13)</f>
        <v>0</v>
      </c>
      <c r="D38" s="537">
        <f>D17</f>
        <v>0</v>
      </c>
      <c r="E38" s="538"/>
      <c r="F38" s="969"/>
      <c r="G38" s="520"/>
      <c r="H38" s="520"/>
      <c r="I38" s="520"/>
      <c r="J38" s="520"/>
      <c r="K38" s="520"/>
      <c r="L38" s="520"/>
      <c r="M38" s="520"/>
      <c r="N38" s="520"/>
      <c r="O38" s="520"/>
      <c r="P38" s="520"/>
      <c r="Q38" s="540"/>
      <c r="R38" s="524"/>
      <c r="S38" s="524"/>
      <c r="T38" s="524"/>
      <c r="U38" s="524"/>
      <c r="V38" s="524"/>
      <c r="W38" s="524"/>
      <c r="X38" s="520"/>
    </row>
    <row r="39" spans="1:24" ht="23.65" customHeight="1" x14ac:dyDescent="0.3">
      <c r="A39" s="520"/>
      <c r="B39" s="542"/>
      <c r="C39" s="520"/>
      <c r="D39" s="650"/>
      <c r="E39" s="650"/>
      <c r="F39" s="969"/>
      <c r="G39" s="520"/>
      <c r="H39" s="520"/>
      <c r="I39" s="520"/>
      <c r="J39" s="520"/>
      <c r="K39" s="520"/>
      <c r="L39" s="520"/>
      <c r="M39" s="520"/>
      <c r="N39" s="520"/>
      <c r="O39" s="520"/>
      <c r="P39" s="520"/>
      <c r="Q39" s="540"/>
      <c r="R39" s="524"/>
      <c r="S39" s="524"/>
      <c r="T39" s="524"/>
      <c r="U39" s="524"/>
      <c r="V39" s="524"/>
      <c r="W39" s="524"/>
      <c r="X39" s="520"/>
    </row>
    <row r="40" spans="1:24" ht="23.65" customHeight="1" x14ac:dyDescent="0.3">
      <c r="A40" s="520"/>
      <c r="B40" s="542"/>
      <c r="C40" s="520"/>
      <c r="D40" s="650"/>
      <c r="E40" s="650"/>
      <c r="F40" s="969"/>
      <c r="G40" s="520"/>
      <c r="H40" s="520"/>
      <c r="I40" s="520"/>
      <c r="J40" s="520"/>
      <c r="K40" s="520"/>
      <c r="L40" s="520"/>
      <c r="M40" s="520"/>
      <c r="N40" s="520"/>
      <c r="O40" s="520"/>
      <c r="P40" s="520"/>
      <c r="Q40" s="540"/>
      <c r="R40" s="524"/>
      <c r="S40" s="524"/>
      <c r="T40" s="524"/>
      <c r="U40" s="524"/>
      <c r="V40" s="524"/>
      <c r="W40" s="524"/>
      <c r="X40" s="520"/>
    </row>
    <row r="41" spans="1:24" ht="23.65" customHeight="1" x14ac:dyDescent="0.3">
      <c r="A41" s="520"/>
      <c r="B41" s="542"/>
      <c r="C41" s="520"/>
      <c r="D41" s="650"/>
      <c r="E41" s="650"/>
      <c r="F41" s="969"/>
      <c r="G41" s="520"/>
      <c r="H41" s="520"/>
      <c r="I41" s="520"/>
      <c r="J41" s="520"/>
      <c r="K41" s="520"/>
      <c r="L41" s="520"/>
      <c r="M41" s="520"/>
      <c r="N41" s="520"/>
      <c r="O41" s="520"/>
      <c r="P41" s="520"/>
      <c r="Q41" s="540"/>
      <c r="R41" s="524"/>
      <c r="S41" s="524"/>
      <c r="T41" s="524"/>
      <c r="U41" s="524"/>
      <c r="V41" s="524"/>
      <c r="W41" s="524"/>
      <c r="X41" s="520"/>
    </row>
    <row r="42" spans="1:24" ht="23.65" customHeight="1" x14ac:dyDescent="0.3">
      <c r="A42" s="520"/>
      <c r="B42" s="542"/>
      <c r="C42" s="520"/>
      <c r="D42" s="650"/>
      <c r="E42" s="650"/>
      <c r="F42" s="969"/>
      <c r="G42" s="522"/>
      <c r="H42" s="522"/>
      <c r="I42" s="522"/>
      <c r="J42" s="522"/>
      <c r="K42" s="522"/>
      <c r="L42" s="522"/>
      <c r="M42" s="523"/>
      <c r="N42" s="523"/>
      <c r="O42" s="520"/>
      <c r="P42" s="520"/>
      <c r="Q42" s="540"/>
      <c r="R42" s="524"/>
      <c r="S42" s="524"/>
      <c r="T42" s="524"/>
      <c r="U42" s="524"/>
      <c r="V42" s="524"/>
      <c r="W42" s="524"/>
      <c r="X42" s="520"/>
    </row>
    <row r="43" spans="1:24" ht="23.65" customHeight="1" x14ac:dyDescent="0.3">
      <c r="A43" s="520"/>
      <c r="B43" s="542"/>
      <c r="C43" s="520"/>
      <c r="D43" s="650"/>
      <c r="E43" s="650"/>
      <c r="F43" s="969"/>
      <c r="G43" s="520"/>
      <c r="H43" s="520"/>
      <c r="I43" s="520"/>
      <c r="J43" s="520"/>
      <c r="K43" s="520"/>
      <c r="L43" s="520"/>
      <c r="M43" s="520"/>
      <c r="N43" s="520"/>
      <c r="O43" s="520"/>
      <c r="P43" s="520"/>
      <c r="Q43" s="520"/>
      <c r="R43" s="520"/>
      <c r="S43" s="520"/>
      <c r="T43" s="520"/>
      <c r="U43" s="520"/>
      <c r="V43" s="520"/>
      <c r="W43" s="520"/>
      <c r="X43" s="520"/>
    </row>
    <row r="44" spans="1:24" ht="36.75" customHeight="1" x14ac:dyDescent="0.3">
      <c r="A44" s="520"/>
      <c r="B44" s="542"/>
      <c r="C44" s="520"/>
      <c r="D44" s="650"/>
      <c r="E44" s="650"/>
      <c r="F44" s="969"/>
      <c r="G44" s="520"/>
      <c r="H44" s="520"/>
      <c r="I44" s="520"/>
      <c r="J44" s="520"/>
      <c r="K44" s="520"/>
      <c r="L44" s="520"/>
      <c r="M44" s="520"/>
      <c r="N44" s="520"/>
      <c r="O44" s="520"/>
      <c r="P44" s="520"/>
      <c r="Q44" s="520"/>
      <c r="R44" s="520"/>
      <c r="S44" s="520"/>
      <c r="T44" s="520"/>
      <c r="U44" s="520"/>
      <c r="V44" s="520"/>
      <c r="W44" s="520"/>
      <c r="X44" s="520"/>
    </row>
    <row r="45" spans="1:24" ht="21" customHeight="1" x14ac:dyDescent="0.3">
      <c r="A45" s="520"/>
      <c r="B45" s="542"/>
      <c r="C45" s="520"/>
      <c r="D45" s="650"/>
      <c r="E45" s="650"/>
      <c r="F45" s="969"/>
      <c r="G45" s="520"/>
      <c r="H45" s="520"/>
      <c r="I45" s="520"/>
      <c r="J45" s="520"/>
      <c r="K45" s="520"/>
      <c r="L45" s="520"/>
      <c r="M45" s="520"/>
      <c r="N45" s="520"/>
      <c r="O45" s="520"/>
      <c r="P45" s="520"/>
      <c r="Q45" s="520"/>
      <c r="R45" s="520"/>
      <c r="S45" s="520"/>
      <c r="T45" s="520"/>
      <c r="U45" s="520"/>
      <c r="V45" s="520"/>
      <c r="W45" s="520"/>
      <c r="X45" s="520"/>
    </row>
    <row r="46" spans="1:24" s="541" customFormat="1" ht="21" customHeight="1" x14ac:dyDescent="0.3">
      <c r="A46" s="524"/>
      <c r="B46" s="542"/>
      <c r="C46" s="520"/>
      <c r="D46" s="650"/>
      <c r="E46" s="650"/>
      <c r="F46" s="969"/>
      <c r="G46" s="542"/>
      <c r="H46" s="524"/>
      <c r="I46" s="524"/>
      <c r="J46" s="524"/>
      <c r="K46" s="524"/>
      <c r="L46" s="524"/>
      <c r="M46" s="524"/>
      <c r="N46" s="524"/>
      <c r="O46" s="524"/>
      <c r="P46" s="524"/>
      <c r="Q46" s="524"/>
      <c r="R46" s="524"/>
      <c r="S46" s="524"/>
      <c r="T46" s="524"/>
      <c r="U46" s="524"/>
      <c r="V46" s="524"/>
      <c r="W46" s="524"/>
      <c r="X46" s="524"/>
    </row>
    <row r="47" spans="1:24" s="541" customFormat="1" ht="21" customHeight="1" x14ac:dyDescent="0.3">
      <c r="A47" s="524"/>
      <c r="B47" s="542"/>
      <c r="C47" s="520"/>
      <c r="D47" s="650"/>
      <c r="E47" s="650"/>
      <c r="F47" s="969"/>
      <c r="G47" s="542"/>
      <c r="H47" s="524"/>
      <c r="I47" s="524"/>
      <c r="J47" s="524"/>
      <c r="K47" s="524"/>
      <c r="L47" s="524"/>
      <c r="M47" s="524"/>
      <c r="N47" s="524"/>
      <c r="O47" s="524"/>
      <c r="P47" s="524"/>
      <c r="Q47" s="524"/>
      <c r="R47" s="524"/>
      <c r="S47" s="524"/>
      <c r="T47" s="524"/>
      <c r="U47" s="524"/>
      <c r="V47" s="524"/>
      <c r="W47" s="524"/>
      <c r="X47" s="524"/>
    </row>
    <row r="48" spans="1:24" s="541" customFormat="1" ht="21" customHeight="1" x14ac:dyDescent="0.3">
      <c r="A48" s="524"/>
      <c r="B48" s="542"/>
      <c r="C48" s="520"/>
      <c r="D48" s="650"/>
      <c r="E48" s="650"/>
      <c r="F48" s="969"/>
      <c r="G48" s="542"/>
      <c r="H48" s="524"/>
      <c r="I48" s="524"/>
      <c r="J48" s="524"/>
      <c r="K48" s="524"/>
      <c r="L48" s="524"/>
      <c r="M48" s="524"/>
      <c r="N48" s="524"/>
      <c r="O48" s="524"/>
      <c r="P48" s="524"/>
      <c r="Q48" s="524"/>
      <c r="R48" s="524"/>
      <c r="S48" s="524"/>
      <c r="T48" s="524"/>
      <c r="U48" s="524"/>
      <c r="V48" s="524"/>
      <c r="W48" s="524"/>
      <c r="X48" s="524"/>
    </row>
    <row r="49" spans="1:24" ht="23.65" customHeight="1" x14ac:dyDescent="0.3">
      <c r="A49" s="520"/>
      <c r="B49" s="542"/>
      <c r="C49" s="520"/>
      <c r="D49" s="650"/>
      <c r="E49" s="650"/>
      <c r="F49" s="969"/>
      <c r="G49" s="542"/>
      <c r="H49" s="524"/>
      <c r="I49" s="524"/>
      <c r="J49" s="524"/>
      <c r="K49" s="524"/>
      <c r="L49" s="524"/>
      <c r="M49" s="520"/>
      <c r="N49" s="520"/>
      <c r="O49" s="520"/>
      <c r="P49" s="520"/>
      <c r="Q49" s="619"/>
      <c r="R49" s="619"/>
      <c r="S49" s="619"/>
      <c r="T49" s="619"/>
      <c r="U49" s="619"/>
      <c r="V49" s="619"/>
      <c r="W49" s="619"/>
      <c r="X49" s="619"/>
    </row>
    <row r="50" spans="1:24" ht="18" customHeight="1" x14ac:dyDescent="0.25">
      <c r="A50" s="520"/>
      <c r="B50" s="520"/>
      <c r="C50" s="524"/>
      <c r="D50" s="524"/>
      <c r="E50" s="524"/>
      <c r="F50" s="969"/>
      <c r="G50" s="542"/>
      <c r="H50" s="524"/>
      <c r="I50" s="524"/>
      <c r="J50" s="524"/>
      <c r="K50" s="524"/>
      <c r="L50" s="524"/>
      <c r="M50" s="520"/>
      <c r="N50" s="520"/>
      <c r="O50" s="520"/>
      <c r="P50" s="520"/>
      <c r="Q50" s="619"/>
      <c r="R50" s="619"/>
      <c r="S50" s="619"/>
      <c r="T50" s="619"/>
      <c r="U50" s="619"/>
      <c r="V50" s="619"/>
      <c r="W50" s="619"/>
      <c r="X50" s="619"/>
    </row>
    <row r="51" spans="1:24" ht="18.600000000000001" customHeight="1" x14ac:dyDescent="0.25">
      <c r="A51" s="520"/>
      <c r="B51" s="520"/>
      <c r="C51" s="524"/>
      <c r="D51" s="524"/>
      <c r="E51" s="524"/>
      <c r="F51" s="969"/>
      <c r="G51" s="542"/>
      <c r="H51" s="524"/>
      <c r="I51" s="524"/>
      <c r="J51" s="524"/>
      <c r="K51" s="524"/>
      <c r="L51" s="524"/>
      <c r="M51" s="520"/>
      <c r="N51" s="520"/>
      <c r="O51" s="520"/>
      <c r="P51" s="520"/>
      <c r="Q51" s="520"/>
      <c r="R51" s="520"/>
      <c r="S51" s="520"/>
      <c r="T51" s="520"/>
      <c r="U51" s="520"/>
      <c r="V51" s="520"/>
      <c r="W51" s="520"/>
      <c r="X51" s="520"/>
    </row>
    <row r="52" spans="1:24" ht="18.600000000000001" hidden="1" customHeight="1" x14ac:dyDescent="0.25">
      <c r="A52" s="520"/>
      <c r="B52" s="520"/>
      <c r="C52" s="524"/>
      <c r="D52" s="524"/>
      <c r="E52" s="524"/>
      <c r="F52" s="972"/>
      <c r="G52" s="542"/>
      <c r="H52" s="524"/>
      <c r="I52" s="524"/>
      <c r="J52" s="524"/>
      <c r="K52" s="524"/>
      <c r="L52" s="524"/>
      <c r="M52" s="520"/>
      <c r="N52" s="520"/>
      <c r="O52" s="520"/>
      <c r="P52" s="520"/>
      <c r="Q52" s="521"/>
      <c r="R52" s="520"/>
      <c r="S52" s="520"/>
      <c r="T52" s="520"/>
      <c r="U52" s="520"/>
      <c r="V52" s="520"/>
      <c r="W52" s="520"/>
      <c r="X52" s="520"/>
    </row>
    <row r="53" spans="1:24" ht="18.600000000000001" hidden="1" customHeight="1" x14ac:dyDescent="0.25">
      <c r="A53" s="520"/>
      <c r="B53" s="520"/>
      <c r="C53" s="524"/>
      <c r="D53" s="524"/>
      <c r="E53" s="524"/>
      <c r="F53" s="972"/>
      <c r="G53" s="542"/>
      <c r="H53" s="524"/>
      <c r="I53" s="524"/>
      <c r="J53" s="524"/>
      <c r="K53" s="524"/>
      <c r="L53" s="524"/>
      <c r="M53" s="520"/>
      <c r="N53" s="520"/>
      <c r="O53" s="520"/>
      <c r="P53" s="520"/>
      <c r="Q53" s="520"/>
      <c r="R53" s="520"/>
      <c r="S53" s="520"/>
      <c r="T53" s="520"/>
      <c r="U53" s="520"/>
      <c r="V53" s="520"/>
      <c r="W53" s="520"/>
      <c r="X53" s="520"/>
    </row>
    <row r="54" spans="1:24" ht="18" hidden="1" customHeight="1" x14ac:dyDescent="0.25">
      <c r="A54" s="520"/>
      <c r="B54" s="520"/>
      <c r="C54" s="524"/>
      <c r="D54" s="524"/>
      <c r="E54" s="524"/>
      <c r="F54" s="972"/>
      <c r="G54" s="542"/>
      <c r="H54" s="524"/>
      <c r="I54" s="524"/>
      <c r="J54" s="524"/>
      <c r="K54" s="524"/>
      <c r="L54" s="524"/>
      <c r="M54" s="520"/>
      <c r="N54" s="520"/>
      <c r="O54" s="520"/>
      <c r="P54" s="520"/>
      <c r="Q54" s="520"/>
      <c r="R54" s="520"/>
      <c r="S54" s="520"/>
      <c r="T54" s="520"/>
      <c r="U54" s="520"/>
      <c r="V54" s="520"/>
      <c r="W54" s="520"/>
      <c r="X54" s="520"/>
    </row>
    <row r="55" spans="1:24" ht="18.600000000000001" hidden="1" customHeight="1" x14ac:dyDescent="0.25">
      <c r="A55" s="520"/>
      <c r="B55" s="520"/>
      <c r="C55" s="524"/>
      <c r="D55" s="524"/>
      <c r="E55" s="524"/>
      <c r="F55" s="972"/>
      <c r="G55" s="542"/>
      <c r="H55" s="524"/>
      <c r="I55" s="524"/>
      <c r="J55" s="524"/>
      <c r="K55" s="524"/>
      <c r="L55" s="524"/>
      <c r="M55" s="520"/>
      <c r="N55" s="520"/>
      <c r="O55" s="520"/>
      <c r="P55" s="520"/>
      <c r="Q55" s="520"/>
      <c r="R55" s="520"/>
      <c r="S55" s="520"/>
      <c r="T55" s="520"/>
      <c r="U55" s="520"/>
      <c r="V55" s="520"/>
      <c r="W55" s="520"/>
      <c r="X55" s="520"/>
    </row>
    <row r="56" spans="1:24" ht="18.600000000000001" hidden="1" customHeight="1" x14ac:dyDescent="0.25">
      <c r="A56" s="520"/>
      <c r="B56" s="520"/>
      <c r="C56" s="524"/>
      <c r="D56" s="524"/>
      <c r="E56" s="524"/>
      <c r="F56" s="972"/>
      <c r="G56" s="542"/>
      <c r="H56" s="524"/>
      <c r="I56" s="524"/>
      <c r="J56" s="524"/>
      <c r="K56" s="524"/>
      <c r="L56" s="524"/>
      <c r="M56" s="520"/>
      <c r="N56" s="520"/>
      <c r="O56" s="520"/>
      <c r="P56" s="520"/>
      <c r="Q56" s="520"/>
      <c r="R56" s="520"/>
      <c r="S56" s="520"/>
      <c r="T56" s="520"/>
      <c r="U56" s="520"/>
      <c r="V56" s="520"/>
      <c r="W56" s="520"/>
      <c r="X56" s="520"/>
    </row>
    <row r="57" spans="1:24" ht="18" hidden="1" customHeight="1" x14ac:dyDescent="0.25">
      <c r="A57" s="520"/>
      <c r="B57" s="520"/>
      <c r="C57" s="524"/>
      <c r="D57" s="524"/>
      <c r="E57" s="524"/>
      <c r="F57" s="972"/>
      <c r="G57" s="542"/>
      <c r="H57" s="524"/>
      <c r="I57" s="524"/>
      <c r="J57" s="524"/>
      <c r="K57" s="524"/>
      <c r="L57" s="524"/>
      <c r="M57" s="520"/>
      <c r="N57" s="520"/>
      <c r="O57" s="520"/>
      <c r="P57" s="520"/>
      <c r="Q57" s="520"/>
      <c r="R57" s="520"/>
      <c r="S57" s="520"/>
      <c r="T57" s="520"/>
      <c r="U57" s="520"/>
      <c r="V57" s="520"/>
      <c r="W57" s="520"/>
      <c r="X57" s="520"/>
    </row>
    <row r="58" spans="1:24" ht="18.600000000000001" hidden="1" customHeight="1" x14ac:dyDescent="0.25">
      <c r="A58" s="520"/>
      <c r="B58" s="520"/>
      <c r="C58" s="524"/>
      <c r="D58" s="524"/>
      <c r="E58" s="524"/>
      <c r="F58" s="972"/>
      <c r="G58" s="542"/>
      <c r="H58" s="524"/>
      <c r="I58" s="524"/>
      <c r="J58" s="524"/>
      <c r="K58" s="524"/>
      <c r="L58" s="524"/>
      <c r="M58" s="520"/>
      <c r="N58" s="520"/>
      <c r="O58" s="520"/>
      <c r="P58" s="520"/>
      <c r="Q58" s="520"/>
      <c r="R58" s="520"/>
      <c r="S58" s="520"/>
      <c r="T58" s="520"/>
      <c r="U58" s="520"/>
      <c r="V58" s="520"/>
      <c r="W58" s="520"/>
      <c r="X58" s="520"/>
    </row>
    <row r="59" spans="1:24" ht="18.600000000000001" hidden="1" customHeight="1" x14ac:dyDescent="0.25">
      <c r="A59" s="520"/>
      <c r="B59" s="520"/>
      <c r="C59" s="524"/>
      <c r="D59" s="524"/>
      <c r="E59" s="524"/>
      <c r="F59" s="972"/>
      <c r="G59" s="542"/>
      <c r="H59" s="524"/>
      <c r="I59" s="524"/>
      <c r="J59" s="524"/>
      <c r="K59" s="524"/>
      <c r="L59" s="524"/>
      <c r="M59" s="520"/>
      <c r="N59" s="520"/>
      <c r="O59" s="520"/>
      <c r="P59" s="520"/>
      <c r="Q59" s="520"/>
      <c r="R59" s="520"/>
      <c r="S59" s="520"/>
      <c r="T59" s="520"/>
      <c r="U59" s="520"/>
      <c r="V59" s="520"/>
      <c r="W59" s="520"/>
      <c r="X59" s="520"/>
    </row>
    <row r="60" spans="1:24" ht="18.600000000000001" hidden="1" customHeight="1" x14ac:dyDescent="0.25">
      <c r="A60" s="520"/>
      <c r="B60" s="520"/>
      <c r="C60" s="524"/>
      <c r="D60" s="524"/>
      <c r="E60" s="524"/>
      <c r="F60" s="972"/>
      <c r="G60" s="542"/>
      <c r="H60" s="524"/>
      <c r="I60" s="524"/>
      <c r="J60" s="524"/>
      <c r="K60" s="524"/>
      <c r="L60" s="524"/>
      <c r="M60" s="520"/>
      <c r="N60" s="520"/>
      <c r="O60" s="520"/>
      <c r="P60" s="520"/>
      <c r="Q60" s="520"/>
      <c r="R60" s="520"/>
      <c r="S60" s="520"/>
      <c r="T60" s="520"/>
      <c r="U60" s="520"/>
      <c r="V60" s="520"/>
      <c r="W60" s="520"/>
      <c r="X60" s="520"/>
    </row>
    <row r="61" spans="1:24" ht="18.600000000000001" hidden="1" customHeight="1" x14ac:dyDescent="0.25">
      <c r="A61" s="520"/>
      <c r="B61" s="520"/>
      <c r="C61" s="524"/>
      <c r="D61" s="524"/>
      <c r="E61" s="524"/>
      <c r="F61" s="972"/>
      <c r="G61" s="542"/>
      <c r="H61" s="524"/>
      <c r="I61" s="524"/>
      <c r="J61" s="524"/>
      <c r="K61" s="524"/>
      <c r="L61" s="524"/>
      <c r="M61" s="520"/>
      <c r="N61" s="520"/>
      <c r="O61" s="520"/>
      <c r="P61" s="520"/>
      <c r="Q61" s="520"/>
      <c r="R61" s="520"/>
      <c r="S61" s="520"/>
      <c r="T61" s="520"/>
      <c r="U61" s="520"/>
      <c r="V61" s="520"/>
      <c r="W61" s="520"/>
      <c r="X61" s="520"/>
    </row>
    <row r="62" spans="1:24" ht="15.6" hidden="1" customHeight="1" x14ac:dyDescent="0.25">
      <c r="A62" s="520"/>
      <c r="B62" s="520"/>
      <c r="C62" s="524"/>
      <c r="D62" s="524"/>
      <c r="E62" s="524"/>
      <c r="F62" s="972"/>
      <c r="G62" s="542"/>
      <c r="H62" s="524"/>
      <c r="I62" s="524"/>
      <c r="J62" s="524"/>
      <c r="K62" s="524"/>
      <c r="L62" s="524"/>
      <c r="M62" s="520"/>
      <c r="N62" s="520"/>
      <c r="O62" s="520"/>
      <c r="P62" s="520"/>
      <c r="Q62" s="520"/>
      <c r="R62" s="520"/>
      <c r="S62" s="520"/>
      <c r="T62" s="520"/>
      <c r="U62" s="520"/>
      <c r="V62" s="520"/>
      <c r="W62" s="520"/>
      <c r="X62" s="520"/>
    </row>
    <row r="63" spans="1:24" ht="18" hidden="1" customHeight="1" x14ac:dyDescent="0.25">
      <c r="A63" s="520"/>
      <c r="B63" s="520"/>
      <c r="C63" s="524"/>
      <c r="D63" s="524"/>
      <c r="E63" s="524"/>
      <c r="F63" s="972"/>
      <c r="G63" s="542"/>
      <c r="H63" s="524"/>
      <c r="I63" s="524"/>
      <c r="J63" s="524"/>
      <c r="K63" s="524"/>
      <c r="L63" s="524"/>
      <c r="M63" s="520"/>
      <c r="N63" s="520"/>
      <c r="O63" s="520"/>
      <c r="P63" s="520"/>
      <c r="Q63" s="520"/>
      <c r="R63" s="520"/>
      <c r="S63" s="520"/>
      <c r="T63" s="520"/>
      <c r="U63" s="520"/>
      <c r="V63" s="520"/>
      <c r="W63" s="520"/>
      <c r="X63" s="520"/>
    </row>
    <row r="64" spans="1:24" ht="14.65" hidden="1" customHeight="1" x14ac:dyDescent="0.25">
      <c r="A64" s="520"/>
      <c r="B64" s="520"/>
      <c r="C64" s="524"/>
      <c r="D64" s="524"/>
      <c r="E64" s="524"/>
      <c r="F64" s="968"/>
      <c r="G64" s="614"/>
      <c r="H64" s="614"/>
      <c r="I64" s="614"/>
      <c r="J64" s="614"/>
      <c r="K64" s="520"/>
      <c r="L64" s="520"/>
      <c r="M64" s="520"/>
      <c r="N64" s="520"/>
      <c r="O64" s="520"/>
      <c r="P64" s="520"/>
      <c r="Q64" s="520"/>
      <c r="R64" s="520"/>
      <c r="S64" s="520"/>
      <c r="T64" s="520"/>
      <c r="U64" s="520"/>
      <c r="V64" s="520"/>
      <c r="W64" s="520"/>
      <c r="X64" s="520"/>
    </row>
    <row r="65" spans="1:24" ht="14.65" hidden="1" customHeight="1" x14ac:dyDescent="0.25">
      <c r="A65" s="520"/>
      <c r="B65" s="56" t="s">
        <v>296</v>
      </c>
      <c r="C65" s="644">
        <v>26000</v>
      </c>
      <c r="D65" s="524"/>
      <c r="E65" s="524"/>
      <c r="F65" s="968"/>
      <c r="G65" s="614"/>
      <c r="H65" s="614"/>
      <c r="I65" s="614"/>
      <c r="J65" s="614"/>
      <c r="K65" s="520"/>
      <c r="L65" s="520"/>
      <c r="M65" s="520"/>
      <c r="N65" s="520"/>
      <c r="O65" s="520"/>
      <c r="P65" s="520"/>
      <c r="Q65" s="520"/>
      <c r="R65" s="520"/>
      <c r="S65" s="520"/>
      <c r="T65" s="520"/>
      <c r="U65" s="520"/>
      <c r="V65" s="520"/>
      <c r="W65" s="520"/>
      <c r="X65" s="520"/>
    </row>
    <row r="66" spans="1:24" ht="14.65" hidden="1" customHeight="1" x14ac:dyDescent="0.25">
      <c r="A66" s="520"/>
      <c r="B66" s="56"/>
      <c r="C66" s="643"/>
      <c r="D66" s="520"/>
      <c r="E66" s="520"/>
      <c r="F66" s="968"/>
      <c r="G66" s="614"/>
      <c r="H66" s="614"/>
      <c r="I66" s="614"/>
      <c r="J66" s="614"/>
      <c r="K66" s="520"/>
      <c r="L66" s="520"/>
      <c r="M66" s="520"/>
      <c r="N66" s="520"/>
      <c r="O66" s="520"/>
      <c r="P66" s="520"/>
      <c r="Q66" s="520"/>
      <c r="R66" s="520"/>
      <c r="S66" s="520"/>
      <c r="T66" s="520"/>
      <c r="U66" s="520"/>
      <c r="V66" s="520"/>
      <c r="W66" s="520"/>
      <c r="X66" s="520"/>
    </row>
    <row r="67" spans="1:24" ht="14.65" hidden="1" customHeight="1" x14ac:dyDescent="0.25">
      <c r="A67" s="520"/>
      <c r="B67" s="55"/>
      <c r="C67" s="520"/>
      <c r="D67" s="520"/>
      <c r="E67" s="520"/>
      <c r="F67" s="968"/>
      <c r="G67" s="614"/>
      <c r="H67" s="614"/>
      <c r="I67" s="614"/>
      <c r="J67" s="614"/>
      <c r="K67" s="520"/>
      <c r="L67" s="520"/>
      <c r="M67" s="520"/>
      <c r="N67" s="520"/>
      <c r="O67" s="520"/>
      <c r="P67" s="520"/>
      <c r="Q67" s="520"/>
      <c r="R67" s="520"/>
      <c r="S67" s="520"/>
      <c r="T67" s="520"/>
      <c r="U67" s="520"/>
      <c r="V67" s="520"/>
      <c r="W67" s="520"/>
      <c r="X67" s="520"/>
    </row>
    <row r="68" spans="1:24" ht="14.65" hidden="1" customHeight="1" x14ac:dyDescent="0.25">
      <c r="A68" s="520"/>
      <c r="B68" s="55"/>
      <c r="C68" s="520"/>
      <c r="D68" s="520"/>
      <c r="E68" s="520"/>
      <c r="F68" s="968"/>
      <c r="G68" s="614"/>
      <c r="H68" s="614"/>
      <c r="I68" s="614"/>
      <c r="J68" s="614"/>
      <c r="K68" s="520"/>
      <c r="L68" s="520"/>
      <c r="M68" s="520"/>
      <c r="N68" s="520"/>
      <c r="O68" s="520"/>
      <c r="P68" s="520"/>
      <c r="Q68" s="520"/>
      <c r="R68" s="520"/>
      <c r="S68" s="520"/>
      <c r="T68" s="520"/>
      <c r="U68" s="520"/>
      <c r="V68" s="520"/>
      <c r="W68" s="520"/>
      <c r="X68" s="520"/>
    </row>
    <row r="69" spans="1:24" ht="14.65" hidden="1" customHeight="1" x14ac:dyDescent="0.25">
      <c r="A69" s="520"/>
      <c r="B69" s="520"/>
      <c r="C69" s="520"/>
      <c r="D69" s="520"/>
      <c r="E69" s="520"/>
      <c r="F69" s="968"/>
      <c r="G69" s="614"/>
      <c r="H69" s="614"/>
      <c r="I69" s="614"/>
      <c r="J69" s="614"/>
      <c r="K69" s="520"/>
      <c r="L69" s="520"/>
      <c r="M69" s="520"/>
      <c r="N69" s="520"/>
      <c r="O69" s="520"/>
      <c r="P69" s="520"/>
      <c r="Q69" s="520"/>
      <c r="R69" s="520"/>
      <c r="S69" s="520"/>
      <c r="T69" s="520"/>
      <c r="U69" s="520"/>
      <c r="V69" s="520"/>
      <c r="W69" s="520"/>
      <c r="X69" s="520"/>
    </row>
    <row r="70" spans="1:24" ht="14.65" hidden="1" customHeight="1" x14ac:dyDescent="0.25">
      <c r="A70" s="520"/>
      <c r="B70" s="520"/>
      <c r="C70" s="520"/>
      <c r="D70" s="520"/>
      <c r="E70" s="520"/>
      <c r="F70" s="968"/>
      <c r="G70" s="614"/>
      <c r="H70" s="614"/>
      <c r="I70" s="614"/>
      <c r="J70" s="614"/>
      <c r="K70" s="520"/>
      <c r="L70" s="520"/>
      <c r="M70" s="520"/>
      <c r="N70" s="520"/>
      <c r="O70" s="520"/>
      <c r="P70" s="520"/>
      <c r="Q70" s="520"/>
      <c r="R70" s="520"/>
      <c r="S70" s="520"/>
      <c r="T70" s="520"/>
      <c r="U70" s="520"/>
      <c r="V70" s="520"/>
      <c r="W70" s="520"/>
      <c r="X70" s="520"/>
    </row>
    <row r="71" spans="1:24" ht="14.65" hidden="1" customHeight="1" x14ac:dyDescent="0.25"/>
    <row r="72" spans="1:24" ht="14.65" hidden="1" customHeight="1" x14ac:dyDescent="0.25"/>
    <row r="73" spans="1:24" ht="14.65" hidden="1" customHeight="1" x14ac:dyDescent="0.25"/>
    <row r="74" spans="1:24" ht="14.6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65:B66"/>
    <mergeCell ref="B67:B68"/>
    <mergeCell ref="B27:C27"/>
    <mergeCell ref="D27:E27"/>
    <mergeCell ref="B28:C28"/>
    <mergeCell ref="D28:E28"/>
    <mergeCell ref="B29:C29"/>
    <mergeCell ref="D29:E29"/>
    <mergeCell ref="D10:E10"/>
    <mergeCell ref="B11:B13"/>
    <mergeCell ref="B15:B17"/>
    <mergeCell ref="B19:B21"/>
    <mergeCell ref="B23:B25"/>
    <mergeCell ref="B5:C5"/>
    <mergeCell ref="D5:E5"/>
    <mergeCell ref="B7:C7"/>
    <mergeCell ref="D7:E7"/>
    <mergeCell ref="B9:C9"/>
    <mergeCell ref="D9:E9"/>
    <mergeCell ref="B2:C2"/>
    <mergeCell ref="D2:E2"/>
    <mergeCell ref="B3:C3"/>
    <mergeCell ref="D3:E3"/>
    <mergeCell ref="H3:O3"/>
  </mergeCells>
  <conditionalFormatting sqref="C36:D38">
    <cfRule type="cellIs" dxfId="33" priority="20" operator="equal">
      <formula>"Error - Enter required % on start page"</formula>
    </cfRule>
    <cfRule type="cellIs" dxfId="32" priority="21" operator="equal">
      <formula>"Error"</formula>
    </cfRule>
    <cfRule type="cellIs" dxfId="31" priority="22" operator="lessThan">
      <formula>0</formula>
    </cfRule>
  </conditionalFormatting>
  <conditionalFormatting sqref="D5">
    <cfRule type="cellIs" dxfId="30" priority="33" operator="equal">
      <formula>"BNG Targets Met ✓"</formula>
    </cfRule>
    <cfRule type="cellIs" dxfId="29" priority="32" operator="equal">
      <formula>"BNG Targets Not Met ▲"</formula>
    </cfRule>
  </conditionalFormatting>
  <conditionalFormatting sqref="D7 G7:H7">
    <cfRule type="cellIs" dxfId="28" priority="19" operator="equal">
      <formula>"Trading Rules Satisfied ✓"</formula>
    </cfRule>
    <cfRule type="cellIs" dxfId="27" priority="18" operator="equal">
      <formula>"Trading Rules Not Satisfied ▲"</formula>
    </cfRule>
  </conditionalFormatting>
  <conditionalFormatting sqref="D9">
    <cfRule type="cellIs" dxfId="26" priority="29" operator="equal">
      <formula>"BNG Tragets Not Met ▲"</formula>
    </cfRule>
    <cfRule type="cellIs" dxfId="25" priority="30" operator="equal">
      <formula>"BNG Targets Met ✓"</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20">
    <cfRule type="cellIs" dxfId="22" priority="10" operator="greaterThanOrEqual">
      <formula>$F$12</formula>
    </cfRule>
    <cfRule type="cellIs" dxfId="21" priority="13" operator="between">
      <formula>0</formula>
      <formula>$F$12</formula>
    </cfRule>
  </conditionalFormatting>
  <conditionalFormatting sqref="D21">
    <cfRule type="cellIs" dxfId="20" priority="9" operator="greaterThanOrEqual">
      <formula>$F$13</formula>
    </cfRule>
    <cfRule type="cellIs" dxfId="19" priority="12" operator="between">
      <formula>0</formula>
      <formula>$F$13</formula>
    </cfRule>
  </conditionalFormatting>
  <conditionalFormatting sqref="D23">
    <cfRule type="cellIs" dxfId="18" priority="6" operator="between">
      <formula>$F$19</formula>
      <formula>0</formula>
    </cfRule>
    <cfRule type="cellIs" dxfId="17" priority="7" operator="greaterThanOrEqual">
      <formula>$F$19</formula>
    </cfRule>
  </conditionalFormatting>
  <conditionalFormatting sqref="D23:D25">
    <cfRule type="cellIs" dxfId="16" priority="28" operator="equal">
      <formula>"% target not appropriate"</formula>
    </cfRule>
    <cfRule type="cellIs" dxfId="15" priority="31" operator="lessThan">
      <formula>0</formula>
    </cfRule>
  </conditionalFormatting>
  <conditionalFormatting sqref="D24">
    <cfRule type="cellIs" dxfId="14" priority="4" operator="between">
      <formula>$F$20</formula>
      <formula>0</formula>
    </cfRule>
    <cfRule type="cellIs" dxfId="13" priority="5" operator="greaterThanOrEqual">
      <formula>$F$20</formula>
    </cfRule>
  </conditionalFormatting>
  <conditionalFormatting sqref="D25">
    <cfRule type="cellIs" dxfId="12" priority="2" operator="between">
      <formula>$F$21</formula>
      <formula>0</formula>
    </cfRule>
    <cfRule type="cellIs" dxfId="11" priority="3" operator="greaterThanOrEqual">
      <formula>$F$21</formula>
    </cfRule>
  </conditionalFormatting>
  <conditionalFormatting sqref="D9:E9">
    <cfRule type="containsText" dxfId="10" priority="1" operator="containsText" text="⚠">
      <formula>NOT(ISERROR(SEARCH("⚠",D9)))</formula>
    </cfRule>
  </conditionalFormatting>
  <conditionalFormatting sqref="D19:E21">
    <cfRule type="cellIs" dxfId="9" priority="26" operator="lessThan">
      <formula>0</formula>
    </cfRule>
    <cfRule type="cellIs" dxfId="8" priority="27" operator="equal">
      <formula>0</formula>
    </cfRule>
    <cfRule type="cellIs" dxfId="7" priority="15" operator="equal">
      <formula>"Error ▲"</formula>
    </cfRule>
  </conditionalFormatting>
  <conditionalFormatting sqref="E19:E25">
    <cfRule type="containsText" dxfId="6" priority="8" operator="containsText" text="⚠">
      <formula>NOT(ISERROR(SEARCH("⚠",E19)))</formula>
    </cfRule>
    <cfRule type="containsText" dxfId="5" priority="16" operator="containsText" text="✓">
      <formula>NOT(ISERROR(SEARCH("✓",E19)))</formula>
    </cfRule>
    <cfRule type="containsText" dxfId="4" priority="17" operator="containsText" text="▲">
      <formula>NOT(ISERROR(SEARCH("▲",E19)))</formula>
    </cfRule>
  </conditionalFormatting>
  <conditionalFormatting sqref="E23:E25">
    <cfRule type="expression" dxfId="3" priority="25">
      <formula>$F23&lt;0</formula>
    </cfRule>
    <cfRule type="containsBlanks" dxfId="2" priority="23">
      <formula>LEN(TRIM(E23))=0</formula>
    </cfRule>
    <cfRule type="expression" dxfId="1"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7109375" customWidth="1"/>
    <col min="3" max="3" width="78.5703125" bestFit="1" customWidth="1"/>
    <col min="4" max="4" width="28.5703125" style="513" customWidth="1"/>
    <col min="5" max="5" width="14.42578125" hidden="1" customWidth="1"/>
    <col min="6" max="6" width="18.42578125" hidden="1" customWidth="1"/>
    <col min="7" max="7" width="15.7109375" style="513" customWidth="1"/>
    <col min="8" max="8" width="34.5703125" style="515"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x14ac:dyDescent="0.25">
      <c r="A1" s="520"/>
      <c r="B1" s="54" t="s">
        <v>297</v>
      </c>
      <c r="C1" s="53"/>
      <c r="D1" s="53"/>
      <c r="E1" s="53"/>
      <c r="F1" s="53"/>
      <c r="G1" s="53"/>
      <c r="H1" s="53"/>
      <c r="I1" s="53"/>
      <c r="J1" s="52"/>
      <c r="K1" s="699">
        <v>9</v>
      </c>
      <c r="L1" s="520"/>
      <c r="M1" s="520"/>
      <c r="N1" s="520"/>
      <c r="O1" s="520"/>
      <c r="P1" s="520"/>
      <c r="Q1" s="520"/>
      <c r="R1" s="520"/>
      <c r="S1" s="520"/>
      <c r="T1" s="520"/>
      <c r="U1" s="520"/>
      <c r="V1" s="520"/>
      <c r="W1" s="520"/>
      <c r="X1" s="520"/>
      <c r="Y1" s="520"/>
    </row>
    <row r="2" spans="1:25" ht="18" customHeight="1" x14ac:dyDescent="0.3">
      <c r="A2" s="520"/>
      <c r="B2" s="51" t="s">
        <v>60</v>
      </c>
      <c r="C2" s="49" t="s">
        <v>270</v>
      </c>
      <c r="D2" s="49"/>
      <c r="E2" s="49"/>
      <c r="F2" s="49"/>
      <c r="G2" s="48" t="s">
        <v>97</v>
      </c>
      <c r="H2" s="48"/>
      <c r="I2" s="47" t="s">
        <v>298</v>
      </c>
      <c r="J2" s="47"/>
      <c r="K2" s="615" t="s">
        <v>299</v>
      </c>
      <c r="L2" s="520"/>
      <c r="M2" s="520"/>
      <c r="N2" s="520"/>
      <c r="O2" s="520"/>
      <c r="P2" s="520"/>
      <c r="Q2" s="520"/>
      <c r="R2" s="520"/>
      <c r="S2" s="520"/>
      <c r="T2" s="520"/>
      <c r="U2" s="520"/>
      <c r="V2" s="520"/>
      <c r="W2" s="520"/>
      <c r="X2" s="520"/>
      <c r="Y2" s="520"/>
    </row>
    <row r="3" spans="1:25" ht="43.15" customHeight="1" x14ac:dyDescent="0.25">
      <c r="A3" s="520"/>
      <c r="B3" s="50"/>
      <c r="C3" s="616" t="s">
        <v>270</v>
      </c>
      <c r="D3" s="616" t="s">
        <v>300</v>
      </c>
      <c r="E3" s="616" t="s">
        <v>301</v>
      </c>
      <c r="F3" s="616" t="s">
        <v>302</v>
      </c>
      <c r="G3" s="756" t="s">
        <v>303</v>
      </c>
      <c r="H3" s="756" t="s">
        <v>304</v>
      </c>
      <c r="I3" s="548" t="s">
        <v>305</v>
      </c>
      <c r="J3" s="548" t="s">
        <v>306</v>
      </c>
      <c r="K3" s="617" t="s">
        <v>307</v>
      </c>
      <c r="L3" s="520"/>
      <c r="M3" s="520"/>
      <c r="N3" s="520"/>
      <c r="O3" s="520"/>
      <c r="P3" s="520"/>
      <c r="Q3" s="520"/>
      <c r="R3" s="520"/>
      <c r="S3" s="520"/>
      <c r="T3" s="520"/>
      <c r="U3" s="520"/>
      <c r="V3" s="520"/>
      <c r="W3" s="520"/>
      <c r="X3" s="520"/>
      <c r="Y3" s="520"/>
    </row>
    <row r="4" spans="1:25" ht="28.9" customHeight="1" x14ac:dyDescent="0.25">
      <c r="A4" s="520"/>
      <c r="B4" s="503">
        <v>1</v>
      </c>
      <c r="C4" s="503" t="s">
        <v>308</v>
      </c>
      <c r="D4" s="503" t="s">
        <v>214</v>
      </c>
      <c r="E4" s="503"/>
      <c r="F4" s="503"/>
      <c r="G4" s="505" t="s">
        <v>217</v>
      </c>
      <c r="H4" s="505" t="s">
        <v>309</v>
      </c>
      <c r="I4" s="505" t="s">
        <v>215</v>
      </c>
      <c r="J4" s="505" t="s">
        <v>215</v>
      </c>
      <c r="K4" s="503" t="s">
        <v>215</v>
      </c>
      <c r="L4" s="520"/>
      <c r="M4" s="520"/>
      <c r="N4" s="520"/>
      <c r="O4" s="520"/>
      <c r="P4" s="520"/>
      <c r="Q4" s="520"/>
      <c r="R4" s="520"/>
      <c r="S4" s="520"/>
      <c r="T4" s="520"/>
      <c r="U4" s="520"/>
      <c r="V4" s="520"/>
      <c r="W4" s="520"/>
      <c r="X4" s="520"/>
      <c r="Y4" s="520"/>
    </row>
    <row r="5" spans="1:25" ht="28.9" customHeight="1" x14ac:dyDescent="0.25">
      <c r="A5" s="520"/>
      <c r="B5" s="503">
        <v>2</v>
      </c>
      <c r="C5" s="503" t="s">
        <v>310</v>
      </c>
      <c r="D5" s="503" t="s">
        <v>214</v>
      </c>
      <c r="E5" s="503"/>
      <c r="F5" s="503"/>
      <c r="G5" s="505" t="s">
        <v>217</v>
      </c>
      <c r="H5" s="505" t="s">
        <v>309</v>
      </c>
      <c r="I5" s="505" t="s">
        <v>215</v>
      </c>
      <c r="J5" s="505" t="s">
        <v>215</v>
      </c>
      <c r="K5" s="503" t="s">
        <v>215</v>
      </c>
      <c r="L5" s="520"/>
      <c r="M5" s="520"/>
      <c r="N5" s="520"/>
      <c r="O5" s="520"/>
      <c r="P5" s="520"/>
      <c r="Q5" s="520"/>
      <c r="R5" s="520"/>
      <c r="S5" s="520"/>
      <c r="T5" s="520"/>
      <c r="U5" s="520"/>
      <c r="V5" s="520"/>
      <c r="W5" s="520"/>
      <c r="X5" s="520"/>
      <c r="Y5" s="520"/>
    </row>
    <row r="6" spans="1:25" ht="28.9" customHeight="1" x14ac:dyDescent="0.25">
      <c r="A6" s="520"/>
      <c r="B6" s="503">
        <v>3</v>
      </c>
      <c r="C6" s="503" t="s">
        <v>311</v>
      </c>
      <c r="D6" s="503" t="s">
        <v>214</v>
      </c>
      <c r="E6" s="503"/>
      <c r="F6" s="503"/>
      <c r="G6" s="505" t="s">
        <v>217</v>
      </c>
      <c r="H6" s="505" t="s">
        <v>309</v>
      </c>
      <c r="I6" s="505" t="s">
        <v>215</v>
      </c>
      <c r="J6" s="505" t="s">
        <v>215</v>
      </c>
      <c r="K6" s="503" t="s">
        <v>215</v>
      </c>
      <c r="L6" s="520"/>
      <c r="M6" s="520"/>
      <c r="N6" s="520"/>
      <c r="O6" s="520"/>
      <c r="P6" s="520"/>
      <c r="Q6" s="520"/>
      <c r="R6" s="520"/>
      <c r="S6" s="520"/>
      <c r="T6" s="520"/>
      <c r="U6" s="520"/>
      <c r="V6" s="520"/>
      <c r="W6" s="520"/>
      <c r="X6" s="520"/>
      <c r="Y6" s="520"/>
    </row>
    <row r="7" spans="1:25" ht="28.9" customHeight="1" x14ac:dyDescent="0.25">
      <c r="A7" s="520"/>
      <c r="B7" s="503">
        <v>4</v>
      </c>
      <c r="C7" s="503" t="s">
        <v>312</v>
      </c>
      <c r="D7" s="503" t="s">
        <v>214</v>
      </c>
      <c r="E7" s="503"/>
      <c r="F7" s="503"/>
      <c r="G7" s="505" t="s">
        <v>217</v>
      </c>
      <c r="H7" s="505" t="s">
        <v>309</v>
      </c>
      <c r="I7" s="505" t="s">
        <v>215</v>
      </c>
      <c r="J7" s="505" t="s">
        <v>215</v>
      </c>
      <c r="K7" s="503" t="s">
        <v>215</v>
      </c>
      <c r="L7" s="520"/>
      <c r="M7" s="520"/>
      <c r="N7" s="520"/>
      <c r="O7" s="520"/>
      <c r="P7" s="520"/>
      <c r="Q7" s="520"/>
      <c r="R7" s="520"/>
      <c r="S7" s="520"/>
      <c r="T7" s="520"/>
      <c r="U7" s="520"/>
      <c r="V7" s="520"/>
      <c r="W7" s="520"/>
      <c r="X7" s="520"/>
      <c r="Y7" s="520"/>
    </row>
    <row r="8" spans="1:25" ht="28.9" customHeight="1" x14ac:dyDescent="0.25">
      <c r="A8" s="520"/>
      <c r="B8" s="503">
        <v>5</v>
      </c>
      <c r="C8" s="503" t="s">
        <v>313</v>
      </c>
      <c r="D8" s="503" t="s">
        <v>214</v>
      </c>
      <c r="E8" s="503"/>
      <c r="F8" s="503"/>
      <c r="G8" s="505" t="s">
        <v>215</v>
      </c>
      <c r="H8" s="505" t="s">
        <v>314</v>
      </c>
      <c r="I8" s="505" t="s">
        <v>215</v>
      </c>
      <c r="J8" s="505" t="s">
        <v>215</v>
      </c>
      <c r="K8" s="503" t="s">
        <v>215</v>
      </c>
      <c r="L8" s="520"/>
      <c r="M8" s="520"/>
      <c r="N8" s="520"/>
      <c r="O8" s="520"/>
      <c r="P8" s="520"/>
      <c r="Q8" s="520"/>
      <c r="R8" s="520"/>
      <c r="S8" s="520"/>
      <c r="T8" s="520"/>
      <c r="U8" s="520"/>
      <c r="V8" s="520"/>
      <c r="W8" s="520"/>
      <c r="X8" s="520"/>
      <c r="Y8" s="520"/>
    </row>
    <row r="9" spans="1:25" ht="28.9" customHeight="1" x14ac:dyDescent="0.25">
      <c r="A9" s="520"/>
      <c r="B9" s="503">
        <f t="shared" ref="B9:B40" si="0">B8+1</f>
        <v>6</v>
      </c>
      <c r="C9" s="503" t="s">
        <v>315</v>
      </c>
      <c r="D9" s="503" t="s">
        <v>214</v>
      </c>
      <c r="E9" s="503"/>
      <c r="F9" s="503"/>
      <c r="G9" s="505" t="s">
        <v>215</v>
      </c>
      <c r="H9" s="505" t="s">
        <v>314</v>
      </c>
      <c r="I9" s="505" t="s">
        <v>215</v>
      </c>
      <c r="J9" s="505" t="s">
        <v>215</v>
      </c>
      <c r="K9" s="503" t="s">
        <v>215</v>
      </c>
      <c r="L9" s="520"/>
      <c r="M9" s="520"/>
      <c r="N9" s="520"/>
      <c r="O9" s="520"/>
      <c r="P9" s="520"/>
      <c r="Q9" s="520"/>
      <c r="R9" s="520"/>
      <c r="S9" s="520"/>
      <c r="T9" s="520"/>
      <c r="U9" s="520"/>
      <c r="V9" s="520"/>
      <c r="W9" s="520"/>
      <c r="X9" s="520"/>
      <c r="Y9" s="520"/>
    </row>
    <row r="10" spans="1:25" ht="28.9" customHeight="1" x14ac:dyDescent="0.25">
      <c r="A10" s="520"/>
      <c r="B10" s="503">
        <f t="shared" si="0"/>
        <v>7</v>
      </c>
      <c r="C10" s="503" t="s">
        <v>316</v>
      </c>
      <c r="D10" s="503" t="s">
        <v>214</v>
      </c>
      <c r="E10" s="503"/>
      <c r="F10" s="503"/>
      <c r="G10" s="505" t="s">
        <v>215</v>
      </c>
      <c r="H10" s="505" t="s">
        <v>314</v>
      </c>
      <c r="I10" s="505" t="s">
        <v>215</v>
      </c>
      <c r="J10" s="505" t="s">
        <v>215</v>
      </c>
      <c r="K10" s="503" t="s">
        <v>215</v>
      </c>
      <c r="L10" s="520"/>
      <c r="M10" s="520"/>
      <c r="N10" s="520"/>
      <c r="O10" s="520"/>
      <c r="P10" s="520"/>
      <c r="Q10" s="520"/>
      <c r="R10" s="520"/>
      <c r="S10" s="520"/>
      <c r="T10" s="520"/>
      <c r="U10" s="520"/>
      <c r="V10" s="520"/>
      <c r="W10" s="520"/>
      <c r="X10" s="520"/>
      <c r="Y10" s="520"/>
    </row>
    <row r="11" spans="1:25" ht="28.9" customHeight="1" x14ac:dyDescent="0.25">
      <c r="A11" s="520"/>
      <c r="B11" s="503">
        <f t="shared" si="0"/>
        <v>8</v>
      </c>
      <c r="C11" s="503" t="s">
        <v>317</v>
      </c>
      <c r="D11" s="503" t="s">
        <v>214</v>
      </c>
      <c r="E11" s="503"/>
      <c r="F11" s="503"/>
      <c r="G11" s="505" t="s">
        <v>215</v>
      </c>
      <c r="H11" s="505" t="s">
        <v>314</v>
      </c>
      <c r="I11" s="505" t="s">
        <v>215</v>
      </c>
      <c r="J11" s="505" t="s">
        <v>215</v>
      </c>
      <c r="K11" s="503" t="s">
        <v>215</v>
      </c>
      <c r="L11" s="520"/>
      <c r="M11" s="520"/>
      <c r="N11" s="520"/>
      <c r="O11" s="520"/>
      <c r="P11" s="520"/>
      <c r="Q11" s="520"/>
      <c r="R11" s="520"/>
      <c r="S11" s="520"/>
      <c r="T11" s="520"/>
      <c r="U11" s="520"/>
      <c r="V11" s="520"/>
      <c r="W11" s="520"/>
      <c r="X11" s="520"/>
      <c r="Y11" s="520"/>
    </row>
    <row r="12" spans="1:25" ht="28.9" customHeight="1" x14ac:dyDescent="0.25">
      <c r="A12" s="520"/>
      <c r="B12" s="503">
        <f t="shared" si="0"/>
        <v>9</v>
      </c>
      <c r="C12" s="503" t="s">
        <v>318</v>
      </c>
      <c r="D12" s="503" t="s">
        <v>214</v>
      </c>
      <c r="E12" s="503"/>
      <c r="F12" s="503"/>
      <c r="G12" s="505" t="s">
        <v>215</v>
      </c>
      <c r="H12" s="505" t="s">
        <v>314</v>
      </c>
      <c r="I12" s="505" t="s">
        <v>215</v>
      </c>
      <c r="J12" s="505" t="s">
        <v>215</v>
      </c>
      <c r="K12" s="503" t="s">
        <v>215</v>
      </c>
      <c r="L12" s="520"/>
      <c r="M12" s="520"/>
      <c r="N12" s="520"/>
      <c r="O12" s="520"/>
      <c r="P12" s="520"/>
      <c r="Q12" s="520"/>
      <c r="R12" s="520"/>
      <c r="S12" s="520"/>
      <c r="T12" s="520"/>
      <c r="U12" s="520"/>
      <c r="V12" s="520"/>
      <c r="W12" s="520"/>
      <c r="X12" s="520"/>
      <c r="Y12" s="520"/>
    </row>
    <row r="13" spans="1:25" ht="28.9" customHeight="1" x14ac:dyDescent="0.25">
      <c r="A13" s="520"/>
      <c r="B13" s="503">
        <f t="shared" si="0"/>
        <v>10</v>
      </c>
      <c r="C13" s="503" t="s">
        <v>319</v>
      </c>
      <c r="D13" s="503" t="s">
        <v>214</v>
      </c>
      <c r="E13" s="503"/>
      <c r="F13" s="503"/>
      <c r="G13" s="505" t="s">
        <v>215</v>
      </c>
      <c r="H13" s="505" t="s">
        <v>314</v>
      </c>
      <c r="I13" s="505" t="s">
        <v>215</v>
      </c>
      <c r="J13" s="505" t="s">
        <v>215</v>
      </c>
      <c r="K13" s="503" t="s">
        <v>215</v>
      </c>
      <c r="L13" s="520"/>
      <c r="M13" s="520"/>
      <c r="N13" s="520"/>
      <c r="O13" s="520"/>
      <c r="P13" s="520"/>
      <c r="Q13" s="520"/>
      <c r="R13" s="520"/>
      <c r="S13" s="520"/>
      <c r="T13" s="520"/>
      <c r="U13" s="520"/>
      <c r="V13" s="520"/>
      <c r="W13" s="520"/>
      <c r="X13" s="520"/>
      <c r="Y13" s="520"/>
    </row>
    <row r="14" spans="1:25" ht="28.9" customHeight="1" x14ac:dyDescent="0.25">
      <c r="A14" s="520"/>
      <c r="B14" s="503">
        <f t="shared" si="0"/>
        <v>11</v>
      </c>
      <c r="C14" s="503" t="s">
        <v>320</v>
      </c>
      <c r="D14" s="503" t="s">
        <v>218</v>
      </c>
      <c r="E14" s="503"/>
      <c r="F14" s="503"/>
      <c r="G14" s="505" t="s">
        <v>215</v>
      </c>
      <c r="H14" s="505" t="s">
        <v>314</v>
      </c>
      <c r="I14" s="505" t="s">
        <v>215</v>
      </c>
      <c r="J14" s="505" t="s">
        <v>215</v>
      </c>
      <c r="K14" s="503" t="s">
        <v>215</v>
      </c>
      <c r="L14" s="520"/>
      <c r="M14" s="520"/>
      <c r="N14" s="520"/>
      <c r="O14" s="520"/>
      <c r="P14" s="520"/>
      <c r="Q14" s="520"/>
      <c r="R14" s="520"/>
      <c r="S14" s="520"/>
      <c r="T14" s="520"/>
      <c r="U14" s="520"/>
      <c r="V14" s="520"/>
      <c r="W14" s="520"/>
      <c r="X14" s="520"/>
      <c r="Y14" s="520"/>
    </row>
    <row r="15" spans="1:25" ht="28.9" customHeight="1" x14ac:dyDescent="0.25">
      <c r="A15" s="520"/>
      <c r="B15" s="503">
        <f t="shared" si="0"/>
        <v>12</v>
      </c>
      <c r="C15" s="503" t="s">
        <v>321</v>
      </c>
      <c r="D15" s="503" t="s">
        <v>218</v>
      </c>
      <c r="E15" s="503"/>
      <c r="F15" s="503"/>
      <c r="G15" s="505" t="s">
        <v>215</v>
      </c>
      <c r="H15" s="505" t="s">
        <v>314</v>
      </c>
      <c r="I15" s="505" t="s">
        <v>215</v>
      </c>
      <c r="J15" s="505" t="s">
        <v>215</v>
      </c>
      <c r="K15" s="503" t="s">
        <v>215</v>
      </c>
      <c r="L15" s="520"/>
      <c r="M15" s="520"/>
      <c r="N15" s="520"/>
      <c r="O15" s="520"/>
      <c r="P15" s="520"/>
      <c r="Q15" s="520"/>
      <c r="R15" s="520"/>
      <c r="S15" s="520"/>
      <c r="T15" s="520"/>
      <c r="U15" s="520"/>
      <c r="V15" s="520"/>
      <c r="W15" s="520"/>
      <c r="X15" s="520"/>
      <c r="Y15" s="520"/>
    </row>
    <row r="16" spans="1:25" ht="28.9" customHeight="1" x14ac:dyDescent="0.25">
      <c r="A16" s="520"/>
      <c r="B16" s="503">
        <f t="shared" si="0"/>
        <v>13</v>
      </c>
      <c r="C16" s="503" t="s">
        <v>322</v>
      </c>
      <c r="D16" s="503" t="s">
        <v>218</v>
      </c>
      <c r="E16" s="503"/>
      <c r="F16" s="503"/>
      <c r="G16" s="505" t="s">
        <v>217</v>
      </c>
      <c r="H16" s="505" t="s">
        <v>309</v>
      </c>
      <c r="I16" s="505" t="s">
        <v>215</v>
      </c>
      <c r="J16" s="505" t="s">
        <v>215</v>
      </c>
      <c r="K16" s="503" t="s">
        <v>215</v>
      </c>
      <c r="L16" s="520"/>
      <c r="M16" s="520"/>
      <c r="N16" s="520"/>
      <c r="O16" s="520"/>
      <c r="P16" s="520"/>
      <c r="Q16" s="520"/>
      <c r="R16" s="520"/>
      <c r="S16" s="520"/>
      <c r="T16" s="520"/>
      <c r="U16" s="520"/>
      <c r="V16" s="520"/>
      <c r="W16" s="520"/>
      <c r="X16" s="520"/>
      <c r="Y16" s="520"/>
    </row>
    <row r="17" spans="1:25" ht="28.9" customHeight="1" x14ac:dyDescent="0.25">
      <c r="A17" s="520"/>
      <c r="B17" s="503">
        <f t="shared" si="0"/>
        <v>14</v>
      </c>
      <c r="C17" s="503" t="s">
        <v>323</v>
      </c>
      <c r="D17" s="503" t="s">
        <v>218</v>
      </c>
      <c r="E17" s="503"/>
      <c r="F17" s="503"/>
      <c r="G17" s="505" t="s">
        <v>217</v>
      </c>
      <c r="H17" s="505" t="s">
        <v>309</v>
      </c>
      <c r="I17" s="505" t="s">
        <v>215</v>
      </c>
      <c r="J17" s="505" t="s">
        <v>215</v>
      </c>
      <c r="K17" s="503" t="s">
        <v>215</v>
      </c>
      <c r="L17" s="520"/>
      <c r="M17" s="520"/>
      <c r="N17" s="520"/>
      <c r="O17" s="520"/>
      <c r="P17" s="520"/>
      <c r="Q17" s="520"/>
      <c r="R17" s="520"/>
      <c r="S17" s="520"/>
      <c r="T17" s="520"/>
      <c r="U17" s="520"/>
      <c r="V17" s="520"/>
      <c r="W17" s="520"/>
      <c r="X17" s="520"/>
      <c r="Y17" s="520"/>
    </row>
    <row r="18" spans="1:25" ht="28.9" customHeight="1" x14ac:dyDescent="0.25">
      <c r="A18" s="520"/>
      <c r="B18" s="503">
        <f t="shared" si="0"/>
        <v>15</v>
      </c>
      <c r="C18" s="503" t="s">
        <v>324</v>
      </c>
      <c r="D18" s="503" t="s">
        <v>218</v>
      </c>
      <c r="E18" s="503"/>
      <c r="F18" s="503"/>
      <c r="G18" s="505" t="s">
        <v>217</v>
      </c>
      <c r="H18" s="505" t="s">
        <v>309</v>
      </c>
      <c r="I18" s="505" t="s">
        <v>215</v>
      </c>
      <c r="J18" s="505" t="s">
        <v>215</v>
      </c>
      <c r="K18" s="503" t="s">
        <v>215</v>
      </c>
      <c r="L18" s="520"/>
      <c r="M18" s="520"/>
      <c r="N18" s="520"/>
      <c r="O18" s="520"/>
      <c r="P18" s="520"/>
      <c r="Q18" s="520"/>
      <c r="R18" s="520"/>
      <c r="S18" s="520"/>
      <c r="T18" s="520"/>
      <c r="U18" s="520"/>
      <c r="V18" s="520"/>
      <c r="W18" s="520"/>
      <c r="X18" s="520"/>
      <c r="Y18" s="520"/>
    </row>
    <row r="19" spans="1:25" ht="28.9" customHeight="1" x14ac:dyDescent="0.25">
      <c r="A19" s="520"/>
      <c r="B19" s="503">
        <f t="shared" si="0"/>
        <v>16</v>
      </c>
      <c r="C19" s="503" t="s">
        <v>325</v>
      </c>
      <c r="D19" s="503" t="s">
        <v>219</v>
      </c>
      <c r="E19" s="503"/>
      <c r="F19" s="503"/>
      <c r="G19" s="505" t="s">
        <v>217</v>
      </c>
      <c r="H19" s="505" t="s">
        <v>309</v>
      </c>
      <c r="I19" s="505" t="s">
        <v>215</v>
      </c>
      <c r="J19" s="505" t="s">
        <v>215</v>
      </c>
      <c r="K19" s="503" t="s">
        <v>215</v>
      </c>
      <c r="L19" s="520"/>
      <c r="M19" s="520"/>
      <c r="N19" s="520"/>
      <c r="O19" s="520"/>
      <c r="P19" s="520"/>
      <c r="Q19" s="520"/>
      <c r="R19" s="520"/>
      <c r="S19" s="520"/>
      <c r="T19" s="520"/>
      <c r="U19" s="520"/>
      <c r="V19" s="520"/>
      <c r="W19" s="520"/>
      <c r="X19" s="520"/>
      <c r="Y19" s="520"/>
    </row>
    <row r="20" spans="1:25" ht="28.9" customHeight="1" x14ac:dyDescent="0.25">
      <c r="A20" s="520"/>
      <c r="B20" s="503">
        <f t="shared" si="0"/>
        <v>17</v>
      </c>
      <c r="C20" s="503" t="s">
        <v>326</v>
      </c>
      <c r="D20" s="503" t="s">
        <v>219</v>
      </c>
      <c r="E20" s="503"/>
      <c r="F20" s="503"/>
      <c r="G20" s="505" t="s">
        <v>217</v>
      </c>
      <c r="H20" s="505" t="s">
        <v>309</v>
      </c>
      <c r="I20" s="505" t="s">
        <v>215</v>
      </c>
      <c r="J20" s="505" t="s">
        <v>215</v>
      </c>
      <c r="K20" s="503" t="s">
        <v>215</v>
      </c>
      <c r="L20" s="520"/>
      <c r="M20" s="520"/>
      <c r="N20" s="520"/>
      <c r="O20" s="520"/>
      <c r="P20" s="520"/>
      <c r="Q20" s="520"/>
      <c r="R20" s="520"/>
      <c r="S20" s="520"/>
      <c r="T20" s="520"/>
      <c r="U20" s="520"/>
      <c r="V20" s="520"/>
      <c r="W20" s="520"/>
      <c r="X20" s="520"/>
      <c r="Y20" s="520"/>
    </row>
    <row r="21" spans="1:25" ht="28.9" customHeight="1" x14ac:dyDescent="0.25">
      <c r="A21" s="520"/>
      <c r="B21" s="503">
        <f t="shared" si="0"/>
        <v>18</v>
      </c>
      <c r="C21" s="503" t="s">
        <v>327</v>
      </c>
      <c r="D21" s="503" t="s">
        <v>219</v>
      </c>
      <c r="E21" s="503"/>
      <c r="F21" s="503"/>
      <c r="G21" s="505" t="s">
        <v>217</v>
      </c>
      <c r="H21" s="505" t="s">
        <v>309</v>
      </c>
      <c r="I21" s="505" t="s">
        <v>215</v>
      </c>
      <c r="J21" s="505" t="s">
        <v>215</v>
      </c>
      <c r="K21" s="503" t="s">
        <v>215</v>
      </c>
      <c r="L21" s="520"/>
      <c r="M21" s="520"/>
      <c r="N21" s="520"/>
      <c r="O21" s="520"/>
      <c r="P21" s="520"/>
      <c r="Q21" s="520"/>
      <c r="R21" s="520"/>
      <c r="S21" s="520"/>
      <c r="T21" s="520"/>
      <c r="U21" s="520"/>
      <c r="V21" s="520"/>
      <c r="W21" s="520"/>
      <c r="X21" s="520"/>
      <c r="Y21" s="520"/>
    </row>
    <row r="22" spans="1:25" ht="28.9" customHeight="1" x14ac:dyDescent="0.25">
      <c r="A22" s="520"/>
      <c r="B22" s="503">
        <f t="shared" si="0"/>
        <v>19</v>
      </c>
      <c r="C22" s="503" t="s">
        <v>328</v>
      </c>
      <c r="D22" s="503" t="s">
        <v>219</v>
      </c>
      <c r="E22" s="503"/>
      <c r="F22" s="503"/>
      <c r="G22" s="505" t="s">
        <v>217</v>
      </c>
      <c r="H22" s="505" t="s">
        <v>309</v>
      </c>
      <c r="I22" s="505" t="s">
        <v>215</v>
      </c>
      <c r="J22" s="505" t="s">
        <v>215</v>
      </c>
      <c r="K22" s="503" t="s">
        <v>215</v>
      </c>
      <c r="L22" s="520"/>
      <c r="M22" s="520"/>
      <c r="N22" s="520"/>
      <c r="O22" s="520"/>
      <c r="P22" s="520"/>
      <c r="Q22" s="520"/>
      <c r="R22" s="520"/>
      <c r="S22" s="520"/>
      <c r="T22" s="520"/>
      <c r="U22" s="520"/>
      <c r="V22" s="520"/>
      <c r="W22" s="520"/>
      <c r="X22" s="520"/>
      <c r="Y22" s="520"/>
    </row>
    <row r="23" spans="1:25" ht="28.9" customHeight="1" x14ac:dyDescent="0.25">
      <c r="A23" s="520"/>
      <c r="B23" s="503">
        <f t="shared" si="0"/>
        <v>20</v>
      </c>
      <c r="C23" s="503" t="s">
        <v>329</v>
      </c>
      <c r="D23" s="503" t="s">
        <v>219</v>
      </c>
      <c r="E23" s="503"/>
      <c r="F23" s="503"/>
      <c r="G23" s="505" t="s">
        <v>217</v>
      </c>
      <c r="H23" s="505" t="s">
        <v>309</v>
      </c>
      <c r="I23" s="505" t="s">
        <v>217</v>
      </c>
      <c r="J23" s="505" t="s">
        <v>215</v>
      </c>
      <c r="K23" s="503" t="s">
        <v>215</v>
      </c>
      <c r="L23" s="520"/>
      <c r="M23" s="520"/>
      <c r="N23" s="520"/>
      <c r="O23" s="520"/>
      <c r="P23" s="520"/>
      <c r="Q23" s="520"/>
      <c r="R23" s="520"/>
      <c r="S23" s="520"/>
      <c r="T23" s="520"/>
      <c r="U23" s="520"/>
      <c r="V23" s="520"/>
      <c r="W23" s="520"/>
      <c r="X23" s="520"/>
      <c r="Y23" s="520"/>
    </row>
    <row r="24" spans="1:25" ht="28.9" customHeight="1" x14ac:dyDescent="0.25">
      <c r="A24" s="520"/>
      <c r="B24" s="503">
        <f t="shared" si="0"/>
        <v>21</v>
      </c>
      <c r="C24" s="503" t="s">
        <v>330</v>
      </c>
      <c r="D24" s="503" t="s">
        <v>219</v>
      </c>
      <c r="E24" s="503"/>
      <c r="F24" s="503"/>
      <c r="G24" s="505" t="s">
        <v>217</v>
      </c>
      <c r="H24" s="505" t="s">
        <v>309</v>
      </c>
      <c r="I24" s="505" t="s">
        <v>215</v>
      </c>
      <c r="J24" s="505" t="s">
        <v>215</v>
      </c>
      <c r="K24" s="503" t="s">
        <v>215</v>
      </c>
      <c r="L24" s="520"/>
      <c r="M24" s="520"/>
      <c r="N24" s="520"/>
      <c r="O24" s="520"/>
      <c r="P24" s="520"/>
      <c r="Q24" s="520"/>
      <c r="R24" s="520"/>
      <c r="S24" s="520"/>
      <c r="T24" s="520"/>
      <c r="U24" s="520"/>
      <c r="V24" s="520"/>
      <c r="W24" s="520"/>
      <c r="X24" s="520"/>
      <c r="Y24" s="520"/>
    </row>
    <row r="25" spans="1:25" ht="28.9" customHeight="1" x14ac:dyDescent="0.25">
      <c r="A25" s="520"/>
      <c r="B25" s="503">
        <f t="shared" si="0"/>
        <v>22</v>
      </c>
      <c r="C25" s="503" t="s">
        <v>331</v>
      </c>
      <c r="D25" s="503" t="s">
        <v>219</v>
      </c>
      <c r="E25" s="503"/>
      <c r="F25" s="503"/>
      <c r="G25" s="505" t="s">
        <v>215</v>
      </c>
      <c r="H25" s="505" t="s">
        <v>314</v>
      </c>
      <c r="I25" s="505" t="s">
        <v>215</v>
      </c>
      <c r="J25" s="505" t="s">
        <v>215</v>
      </c>
      <c r="K25" s="503" t="s">
        <v>215</v>
      </c>
      <c r="L25" s="520"/>
      <c r="M25" s="520"/>
      <c r="N25" s="520"/>
      <c r="O25" s="520"/>
      <c r="P25" s="520"/>
      <c r="Q25" s="520"/>
      <c r="R25" s="520"/>
      <c r="S25" s="520"/>
      <c r="T25" s="520"/>
      <c r="U25" s="520"/>
      <c r="V25" s="520"/>
      <c r="W25" s="520"/>
      <c r="X25" s="520"/>
      <c r="Y25" s="520"/>
    </row>
    <row r="26" spans="1:25" ht="28.9" customHeight="1" x14ac:dyDescent="0.25">
      <c r="A26" s="520"/>
      <c r="B26" s="503">
        <f t="shared" si="0"/>
        <v>23</v>
      </c>
      <c r="C26" s="503" t="s">
        <v>332</v>
      </c>
      <c r="D26" s="503" t="s">
        <v>219</v>
      </c>
      <c r="E26" s="503"/>
      <c r="F26" s="503"/>
      <c r="G26" s="505" t="s">
        <v>215</v>
      </c>
      <c r="H26" s="505" t="s">
        <v>314</v>
      </c>
      <c r="I26" s="505" t="s">
        <v>215</v>
      </c>
      <c r="J26" s="505" t="s">
        <v>215</v>
      </c>
      <c r="K26" s="503" t="s">
        <v>215</v>
      </c>
      <c r="L26" s="520"/>
      <c r="M26" s="520"/>
      <c r="N26" s="520"/>
      <c r="O26" s="520"/>
      <c r="P26" s="520"/>
      <c r="Q26" s="520"/>
      <c r="R26" s="520"/>
      <c r="S26" s="520"/>
      <c r="T26" s="520"/>
      <c r="U26" s="520"/>
      <c r="V26" s="520"/>
      <c r="W26" s="520"/>
      <c r="X26" s="520"/>
      <c r="Y26" s="520"/>
    </row>
    <row r="27" spans="1:25" ht="29.1" customHeight="1" x14ac:dyDescent="0.25">
      <c r="A27" s="520"/>
      <c r="B27" s="503">
        <f t="shared" si="0"/>
        <v>24</v>
      </c>
      <c r="C27" s="503" t="s">
        <v>333</v>
      </c>
      <c r="D27" s="503" t="s">
        <v>219</v>
      </c>
      <c r="E27" s="503"/>
      <c r="F27" s="503"/>
      <c r="G27" s="505" t="s">
        <v>217</v>
      </c>
      <c r="H27" s="505" t="s">
        <v>309</v>
      </c>
      <c r="I27" s="505" t="s">
        <v>217</v>
      </c>
      <c r="J27" s="505" t="s">
        <v>215</v>
      </c>
      <c r="K27" s="503"/>
      <c r="L27" s="520"/>
      <c r="M27" s="520"/>
      <c r="N27" s="520"/>
      <c r="O27" s="520"/>
      <c r="P27" s="520"/>
      <c r="Q27" s="520"/>
      <c r="R27" s="520"/>
      <c r="S27" s="520"/>
      <c r="T27" s="520"/>
      <c r="U27" s="520"/>
      <c r="V27" s="520"/>
      <c r="W27" s="520"/>
      <c r="X27" s="520"/>
      <c r="Y27" s="520"/>
    </row>
    <row r="28" spans="1:25" ht="29.1" customHeight="1" x14ac:dyDescent="0.25">
      <c r="A28" s="520"/>
      <c r="B28" s="503">
        <f t="shared" si="0"/>
        <v>25</v>
      </c>
      <c r="C28" s="503" t="s">
        <v>334</v>
      </c>
      <c r="D28" s="503" t="s">
        <v>222</v>
      </c>
      <c r="E28" s="503"/>
      <c r="F28" s="503"/>
      <c r="G28" s="505" t="s">
        <v>215</v>
      </c>
      <c r="H28" s="505" t="s">
        <v>314</v>
      </c>
      <c r="I28" s="505" t="s">
        <v>215</v>
      </c>
      <c r="J28" s="505" t="s">
        <v>335</v>
      </c>
      <c r="K28" s="503" t="s">
        <v>215</v>
      </c>
      <c r="L28" s="520"/>
      <c r="M28" s="520"/>
      <c r="N28" s="520"/>
      <c r="O28" s="520"/>
      <c r="P28" s="520"/>
      <c r="Q28" s="520"/>
      <c r="R28" s="520"/>
      <c r="S28" s="520"/>
      <c r="T28" s="520"/>
      <c r="U28" s="520"/>
      <c r="V28" s="520"/>
      <c r="W28" s="520"/>
      <c r="X28" s="520"/>
      <c r="Y28" s="520"/>
    </row>
    <row r="29" spans="1:25" ht="28.9" customHeight="1" x14ac:dyDescent="0.25">
      <c r="A29" s="520"/>
      <c r="B29" s="503">
        <f t="shared" si="0"/>
        <v>26</v>
      </c>
      <c r="C29" s="503" t="s">
        <v>336</v>
      </c>
      <c r="D29" s="503" t="s">
        <v>222</v>
      </c>
      <c r="E29" s="503"/>
      <c r="F29" s="503"/>
      <c r="G29" s="505" t="s">
        <v>217</v>
      </c>
      <c r="H29" s="505" t="s">
        <v>309</v>
      </c>
      <c r="I29" s="505" t="s">
        <v>215</v>
      </c>
      <c r="J29" s="505" t="s">
        <v>217</v>
      </c>
      <c r="K29" s="503" t="s">
        <v>215</v>
      </c>
      <c r="L29" s="520"/>
      <c r="M29" s="520"/>
      <c r="N29" s="520"/>
      <c r="O29" s="520"/>
      <c r="P29" s="520"/>
      <c r="Q29" s="520"/>
      <c r="R29" s="520"/>
      <c r="S29" s="520"/>
      <c r="T29" s="520"/>
      <c r="U29" s="520"/>
      <c r="V29" s="520"/>
      <c r="W29" s="520"/>
      <c r="X29" s="520"/>
      <c r="Y29" s="520"/>
    </row>
    <row r="30" spans="1:25" ht="28.9" customHeight="1" x14ac:dyDescent="0.25">
      <c r="A30" s="520"/>
      <c r="B30" s="503">
        <f t="shared" si="0"/>
        <v>27</v>
      </c>
      <c r="C30" s="503" t="s">
        <v>337</v>
      </c>
      <c r="D30" s="503" t="s">
        <v>222</v>
      </c>
      <c r="E30" s="503"/>
      <c r="F30" s="503"/>
      <c r="G30" s="505" t="s">
        <v>217</v>
      </c>
      <c r="H30" s="505" t="s">
        <v>309</v>
      </c>
      <c r="I30" s="505" t="s">
        <v>217</v>
      </c>
      <c r="J30" s="505" t="s">
        <v>217</v>
      </c>
      <c r="K30" s="503" t="s">
        <v>215</v>
      </c>
      <c r="L30" s="520"/>
      <c r="M30" s="520"/>
      <c r="N30" s="520"/>
      <c r="O30" s="520"/>
      <c r="P30" s="520"/>
      <c r="Q30" s="520"/>
      <c r="R30" s="520"/>
      <c r="S30" s="520"/>
      <c r="T30" s="520"/>
      <c r="U30" s="520"/>
      <c r="V30" s="520"/>
      <c r="W30" s="520"/>
      <c r="X30" s="520"/>
      <c r="Y30" s="520"/>
    </row>
    <row r="31" spans="1:25" ht="28.9" customHeight="1" x14ac:dyDescent="0.25">
      <c r="A31" s="520"/>
      <c r="B31" s="503">
        <f t="shared" si="0"/>
        <v>28</v>
      </c>
      <c r="C31" s="503" t="s">
        <v>338</v>
      </c>
      <c r="D31" s="503" t="s">
        <v>223</v>
      </c>
      <c r="E31" s="503"/>
      <c r="F31" s="503"/>
      <c r="G31" s="505" t="s">
        <v>215</v>
      </c>
      <c r="H31" s="505" t="s">
        <v>314</v>
      </c>
      <c r="I31" s="505" t="s">
        <v>215</v>
      </c>
      <c r="J31" s="505" t="s">
        <v>217</v>
      </c>
      <c r="K31" s="503" t="s">
        <v>215</v>
      </c>
      <c r="L31" s="520"/>
      <c r="M31" s="520"/>
      <c r="N31" s="520"/>
      <c r="O31" s="520"/>
      <c r="P31" s="520"/>
      <c r="Q31" s="520"/>
      <c r="R31" s="520"/>
      <c r="S31" s="520"/>
      <c r="T31" s="520"/>
      <c r="U31" s="520"/>
      <c r="V31" s="520"/>
      <c r="W31" s="520"/>
      <c r="X31" s="520"/>
      <c r="Y31" s="520"/>
    </row>
    <row r="32" spans="1:25" ht="28.9" customHeight="1" x14ac:dyDescent="0.25">
      <c r="A32" s="520"/>
      <c r="B32" s="503">
        <f t="shared" si="0"/>
        <v>29</v>
      </c>
      <c r="C32" s="503" t="s">
        <v>339</v>
      </c>
      <c r="D32" s="503" t="s">
        <v>223</v>
      </c>
      <c r="E32" s="503"/>
      <c r="F32" s="503"/>
      <c r="G32" s="505" t="s">
        <v>217</v>
      </c>
      <c r="H32" s="505" t="s">
        <v>309</v>
      </c>
      <c r="I32" s="505" t="s">
        <v>217</v>
      </c>
      <c r="J32" s="505" t="s">
        <v>217</v>
      </c>
      <c r="K32" s="503" t="s">
        <v>215</v>
      </c>
      <c r="L32" s="520"/>
      <c r="M32" s="520"/>
      <c r="N32" s="520"/>
      <c r="O32" s="520"/>
      <c r="P32" s="520"/>
      <c r="Q32" s="520"/>
      <c r="R32" s="520"/>
      <c r="S32" s="520"/>
      <c r="T32" s="520"/>
      <c r="U32" s="520"/>
      <c r="V32" s="520"/>
      <c r="W32" s="520"/>
      <c r="X32" s="520"/>
      <c r="Y32" s="520"/>
    </row>
    <row r="33" spans="1:25" ht="29.65" customHeight="1" x14ac:dyDescent="0.25">
      <c r="A33" s="520"/>
      <c r="B33" s="503">
        <f t="shared" si="0"/>
        <v>30</v>
      </c>
      <c r="C33" s="503" t="s">
        <v>340</v>
      </c>
      <c r="D33" s="503" t="s">
        <v>223</v>
      </c>
      <c r="E33" s="503"/>
      <c r="F33" s="503"/>
      <c r="G33" s="505" t="s">
        <v>215</v>
      </c>
      <c r="H33" s="505" t="s">
        <v>314</v>
      </c>
      <c r="I33" s="505" t="s">
        <v>215</v>
      </c>
      <c r="J33" s="505" t="s">
        <v>217</v>
      </c>
      <c r="K33" s="503"/>
      <c r="L33" s="520"/>
      <c r="M33" s="520"/>
      <c r="N33" s="520"/>
      <c r="O33" s="520"/>
      <c r="P33" s="520"/>
      <c r="Q33" s="520"/>
      <c r="R33" s="520"/>
      <c r="S33" s="520"/>
      <c r="T33" s="520"/>
      <c r="U33" s="520"/>
      <c r="V33" s="520"/>
      <c r="W33" s="520"/>
      <c r="X33" s="520"/>
      <c r="Y33" s="520"/>
    </row>
    <row r="34" spans="1:25" ht="28.9" customHeight="1" x14ac:dyDescent="0.25">
      <c r="A34" s="520"/>
      <c r="B34" s="503">
        <f t="shared" si="0"/>
        <v>31</v>
      </c>
      <c r="C34" s="503" t="s">
        <v>341</v>
      </c>
      <c r="D34" s="503" t="s">
        <v>224</v>
      </c>
      <c r="E34" s="503"/>
      <c r="F34" s="503"/>
      <c r="G34" s="505" t="s">
        <v>215</v>
      </c>
      <c r="H34" s="505" t="s">
        <v>314</v>
      </c>
      <c r="I34" s="505" t="s">
        <v>215</v>
      </c>
      <c r="J34" s="505" t="s">
        <v>215</v>
      </c>
      <c r="K34" s="503" t="s">
        <v>215</v>
      </c>
      <c r="L34" s="520"/>
      <c r="M34" s="520"/>
      <c r="N34" s="520"/>
      <c r="O34" s="520"/>
      <c r="P34" s="520"/>
      <c r="Q34" s="520"/>
      <c r="R34" s="520"/>
      <c r="S34" s="520"/>
      <c r="T34" s="520"/>
      <c r="U34" s="520"/>
      <c r="V34" s="520"/>
      <c r="W34" s="520"/>
      <c r="X34" s="520"/>
      <c r="Y34" s="520"/>
    </row>
    <row r="35" spans="1:25" ht="28.15" customHeight="1" x14ac:dyDescent="0.25">
      <c r="A35" s="520"/>
      <c r="B35" s="503">
        <f t="shared" si="0"/>
        <v>32</v>
      </c>
      <c r="C35" s="503" t="s">
        <v>342</v>
      </c>
      <c r="D35" s="503" t="s">
        <v>224</v>
      </c>
      <c r="E35" s="503"/>
      <c r="F35" s="503"/>
      <c r="G35" s="505" t="s">
        <v>343</v>
      </c>
      <c r="H35" s="505" t="s">
        <v>344</v>
      </c>
      <c r="I35" s="505" t="s">
        <v>215</v>
      </c>
      <c r="J35" s="505" t="s">
        <v>215</v>
      </c>
      <c r="K35" s="503" t="s">
        <v>215</v>
      </c>
      <c r="L35" s="520"/>
      <c r="M35" s="520"/>
      <c r="N35" s="520"/>
      <c r="O35" s="520"/>
      <c r="P35" s="520"/>
      <c r="Q35" s="520"/>
      <c r="R35" s="520"/>
      <c r="S35" s="520"/>
      <c r="T35" s="520"/>
      <c r="U35" s="520"/>
      <c r="V35" s="520"/>
      <c r="W35" s="520"/>
      <c r="X35" s="520"/>
      <c r="Y35" s="520"/>
    </row>
    <row r="36" spans="1:25" ht="28.9" customHeight="1" x14ac:dyDescent="0.25">
      <c r="A36" s="520"/>
      <c r="B36" s="503">
        <f t="shared" si="0"/>
        <v>33</v>
      </c>
      <c r="C36" s="503" t="s">
        <v>345</v>
      </c>
      <c r="D36" s="503" t="s">
        <v>224</v>
      </c>
      <c r="E36" s="503"/>
      <c r="F36" s="503"/>
      <c r="G36" s="505" t="s">
        <v>215</v>
      </c>
      <c r="H36" s="505" t="s">
        <v>314</v>
      </c>
      <c r="I36" s="505" t="s">
        <v>217</v>
      </c>
      <c r="J36" s="505" t="s">
        <v>215</v>
      </c>
      <c r="K36" s="503" t="s">
        <v>215</v>
      </c>
      <c r="L36" s="520"/>
      <c r="M36" s="520"/>
      <c r="N36" s="520"/>
      <c r="O36" s="520"/>
      <c r="P36" s="520"/>
      <c r="Q36" s="520"/>
      <c r="R36" s="520"/>
      <c r="S36" s="520"/>
      <c r="T36" s="520"/>
      <c r="U36" s="520"/>
      <c r="V36" s="520"/>
      <c r="W36" s="520"/>
      <c r="X36" s="520"/>
      <c r="Y36" s="520"/>
    </row>
    <row r="37" spans="1:25" ht="28.9" customHeight="1" x14ac:dyDescent="0.25">
      <c r="A37" s="520"/>
      <c r="B37" s="503">
        <f t="shared" si="0"/>
        <v>34</v>
      </c>
      <c r="C37" s="503" t="s">
        <v>346</v>
      </c>
      <c r="D37" s="503" t="s">
        <v>224</v>
      </c>
      <c r="E37" s="503"/>
      <c r="F37" s="503"/>
      <c r="G37" s="505" t="s">
        <v>217</v>
      </c>
      <c r="H37" s="505" t="s">
        <v>309</v>
      </c>
      <c r="I37" s="505" t="s">
        <v>217</v>
      </c>
      <c r="J37" s="505" t="s">
        <v>217</v>
      </c>
      <c r="K37" s="503" t="s">
        <v>215</v>
      </c>
      <c r="L37" s="520"/>
      <c r="M37" s="520"/>
      <c r="N37" s="520"/>
      <c r="O37" s="520"/>
      <c r="P37" s="520"/>
      <c r="Q37" s="520"/>
      <c r="R37" s="520"/>
      <c r="S37" s="520"/>
      <c r="T37" s="520"/>
      <c r="U37" s="520"/>
      <c r="V37" s="520"/>
      <c r="W37" s="520"/>
      <c r="X37" s="520"/>
      <c r="Y37" s="520"/>
    </row>
    <row r="38" spans="1:25" ht="29.1" customHeight="1" x14ac:dyDescent="0.25">
      <c r="A38" s="520"/>
      <c r="B38" s="503">
        <f t="shared" si="0"/>
        <v>35</v>
      </c>
      <c r="C38" s="503" t="s">
        <v>347</v>
      </c>
      <c r="D38" s="503" t="s">
        <v>224</v>
      </c>
      <c r="E38" s="503"/>
      <c r="F38" s="503"/>
      <c r="G38" s="505" t="s">
        <v>343</v>
      </c>
      <c r="H38" s="505" t="s">
        <v>344</v>
      </c>
      <c r="I38" s="505" t="s">
        <v>215</v>
      </c>
      <c r="J38" s="505" t="s">
        <v>215</v>
      </c>
      <c r="K38" s="503" t="s">
        <v>215</v>
      </c>
      <c r="L38" s="520"/>
      <c r="M38" s="520"/>
      <c r="N38" s="520"/>
      <c r="O38" s="520"/>
      <c r="P38" s="520"/>
      <c r="Q38" s="520"/>
      <c r="R38" s="520"/>
      <c r="S38" s="520"/>
      <c r="T38" s="520"/>
      <c r="U38" s="520"/>
      <c r="V38" s="520"/>
      <c r="W38" s="520"/>
      <c r="X38" s="520"/>
      <c r="Y38" s="520"/>
    </row>
    <row r="39" spans="1:25" ht="28.9" customHeight="1" x14ac:dyDescent="0.25">
      <c r="A39" s="520"/>
      <c r="B39" s="503">
        <f t="shared" si="0"/>
        <v>36</v>
      </c>
      <c r="C39" s="503" t="s">
        <v>348</v>
      </c>
      <c r="D39" s="503" t="s">
        <v>224</v>
      </c>
      <c r="E39" s="503"/>
      <c r="F39" s="503"/>
      <c r="G39" s="505" t="s">
        <v>217</v>
      </c>
      <c r="H39" s="505" t="s">
        <v>309</v>
      </c>
      <c r="I39" s="505" t="s">
        <v>217</v>
      </c>
      <c r="J39" s="505" t="s">
        <v>215</v>
      </c>
      <c r="K39" s="503" t="s">
        <v>215</v>
      </c>
      <c r="L39" s="520"/>
      <c r="M39" s="520"/>
      <c r="N39" s="520"/>
      <c r="O39" s="520"/>
      <c r="P39" s="520"/>
      <c r="Q39" s="520"/>
      <c r="R39" s="520"/>
      <c r="S39" s="520"/>
      <c r="T39" s="520"/>
      <c r="U39" s="520"/>
      <c r="V39" s="520"/>
      <c r="W39" s="520"/>
      <c r="X39" s="520"/>
      <c r="Y39" s="520"/>
    </row>
    <row r="40" spans="1:25" ht="29.65" customHeight="1" x14ac:dyDescent="0.25">
      <c r="A40" s="520"/>
      <c r="B40" s="503">
        <f t="shared" si="0"/>
        <v>37</v>
      </c>
      <c r="C40" s="503" t="s">
        <v>349</v>
      </c>
      <c r="D40" s="503" t="s">
        <v>224</v>
      </c>
      <c r="E40" s="503"/>
      <c r="F40" s="503"/>
      <c r="G40" s="505" t="s">
        <v>343</v>
      </c>
      <c r="H40" s="505" t="s">
        <v>344</v>
      </c>
      <c r="I40" s="505" t="s">
        <v>215</v>
      </c>
      <c r="J40" s="505" t="s">
        <v>215</v>
      </c>
      <c r="K40" s="503" t="s">
        <v>215</v>
      </c>
      <c r="L40" s="520"/>
      <c r="M40" s="520"/>
      <c r="N40" s="520"/>
      <c r="O40" s="520"/>
      <c r="P40" s="520"/>
      <c r="Q40" s="520"/>
      <c r="R40" s="520"/>
      <c r="S40" s="520"/>
      <c r="T40" s="520"/>
      <c r="U40" s="520"/>
      <c r="V40" s="520"/>
      <c r="W40" s="520"/>
      <c r="X40" s="520"/>
      <c r="Y40" s="520"/>
    </row>
    <row r="41" spans="1:25" ht="28.9" customHeight="1" x14ac:dyDescent="0.25">
      <c r="A41" s="520"/>
      <c r="B41" s="503">
        <f t="shared" ref="B41:B72" si="1">B40+1</f>
        <v>38</v>
      </c>
      <c r="C41" s="503" t="s">
        <v>350</v>
      </c>
      <c r="D41" s="503" t="s">
        <v>224</v>
      </c>
      <c r="E41" s="503"/>
      <c r="F41" s="503"/>
      <c r="G41" s="505" t="s">
        <v>215</v>
      </c>
      <c r="H41" s="505" t="s">
        <v>314</v>
      </c>
      <c r="I41" s="505" t="s">
        <v>215</v>
      </c>
      <c r="J41" s="505" t="s">
        <v>215</v>
      </c>
      <c r="K41" s="503" t="s">
        <v>215</v>
      </c>
      <c r="L41" s="520"/>
      <c r="M41" s="520"/>
      <c r="N41" s="520"/>
      <c r="O41" s="520"/>
      <c r="P41" s="520"/>
      <c r="Q41" s="520"/>
      <c r="R41" s="520"/>
      <c r="S41" s="520"/>
      <c r="T41" s="520"/>
      <c r="U41" s="520"/>
      <c r="V41" s="520"/>
      <c r="W41" s="520"/>
      <c r="X41" s="520"/>
      <c r="Y41" s="520"/>
    </row>
    <row r="42" spans="1:25" ht="28.9" customHeight="1" x14ac:dyDescent="0.25">
      <c r="A42" s="520"/>
      <c r="B42" s="503">
        <f t="shared" si="1"/>
        <v>39</v>
      </c>
      <c r="C42" s="503" t="s">
        <v>351</v>
      </c>
      <c r="D42" s="503" t="s">
        <v>224</v>
      </c>
      <c r="E42" s="503"/>
      <c r="F42" s="503"/>
      <c r="G42" s="505" t="s">
        <v>215</v>
      </c>
      <c r="H42" s="505" t="s">
        <v>314</v>
      </c>
      <c r="I42" s="505" t="s">
        <v>217</v>
      </c>
      <c r="J42" s="505" t="s">
        <v>217</v>
      </c>
      <c r="K42" s="503" t="s">
        <v>215</v>
      </c>
      <c r="L42" s="520"/>
      <c r="M42" s="520"/>
      <c r="N42" s="520"/>
      <c r="O42" s="520"/>
      <c r="P42" s="520"/>
      <c r="Q42" s="520"/>
      <c r="R42" s="520"/>
      <c r="S42" s="520"/>
      <c r="T42" s="520"/>
      <c r="U42" s="520"/>
      <c r="V42" s="520"/>
      <c r="W42" s="520"/>
      <c r="X42" s="520"/>
      <c r="Y42" s="520"/>
    </row>
    <row r="43" spans="1:25" ht="28.9" customHeight="1" x14ac:dyDescent="0.25">
      <c r="A43" s="520"/>
      <c r="B43" s="503">
        <f t="shared" si="1"/>
        <v>40</v>
      </c>
      <c r="C43" s="503" t="s">
        <v>352</v>
      </c>
      <c r="D43" s="503" t="s">
        <v>224</v>
      </c>
      <c r="E43" s="503"/>
      <c r="F43" s="503"/>
      <c r="G43" s="505" t="s">
        <v>215</v>
      </c>
      <c r="H43" s="505" t="s">
        <v>314</v>
      </c>
      <c r="I43" s="505" t="s">
        <v>217</v>
      </c>
      <c r="J43" s="505" t="s">
        <v>217</v>
      </c>
      <c r="K43" s="503" t="s">
        <v>215</v>
      </c>
      <c r="L43" s="520"/>
      <c r="M43" s="520"/>
      <c r="N43" s="520"/>
      <c r="O43" s="520"/>
      <c r="P43" s="520"/>
      <c r="Q43" s="520"/>
      <c r="R43" s="520"/>
      <c r="S43" s="520"/>
      <c r="T43" s="520"/>
      <c r="U43" s="520"/>
      <c r="V43" s="520"/>
      <c r="W43" s="520"/>
      <c r="X43" s="520"/>
      <c r="Y43" s="520"/>
    </row>
    <row r="44" spans="1:25" ht="28.9" customHeight="1" x14ac:dyDescent="0.25">
      <c r="A44" s="520"/>
      <c r="B44" s="503">
        <f t="shared" si="1"/>
        <v>41</v>
      </c>
      <c r="C44" s="503" t="s">
        <v>353</v>
      </c>
      <c r="D44" s="503" t="s">
        <v>224</v>
      </c>
      <c r="E44" s="503"/>
      <c r="F44" s="503"/>
      <c r="G44" s="505" t="s">
        <v>215</v>
      </c>
      <c r="H44" s="505" t="s">
        <v>314</v>
      </c>
      <c r="I44" s="505" t="s">
        <v>215</v>
      </c>
      <c r="J44" s="505" t="s">
        <v>215</v>
      </c>
      <c r="K44" s="503" t="s">
        <v>215</v>
      </c>
      <c r="L44" s="520"/>
      <c r="M44" s="520"/>
      <c r="N44" s="520"/>
      <c r="O44" s="520"/>
      <c r="P44" s="520"/>
      <c r="Q44" s="520"/>
      <c r="R44" s="520"/>
      <c r="S44" s="520"/>
      <c r="T44" s="520"/>
      <c r="U44" s="520"/>
      <c r="V44" s="520"/>
      <c r="W44" s="520"/>
      <c r="X44" s="520"/>
      <c r="Y44" s="520"/>
    </row>
    <row r="45" spans="1:25" ht="28.9" customHeight="1" x14ac:dyDescent="0.25">
      <c r="A45" s="520"/>
      <c r="B45" s="503">
        <f t="shared" si="1"/>
        <v>42</v>
      </c>
      <c r="C45" s="503" t="s">
        <v>354</v>
      </c>
      <c r="D45" s="503" t="s">
        <v>224</v>
      </c>
      <c r="E45" s="503"/>
      <c r="F45" s="503"/>
      <c r="G45" s="505" t="s">
        <v>215</v>
      </c>
      <c r="H45" s="505" t="s">
        <v>314</v>
      </c>
      <c r="I45" s="505" t="s">
        <v>215</v>
      </c>
      <c r="J45" s="505" t="s">
        <v>215</v>
      </c>
      <c r="K45" s="503" t="s">
        <v>215</v>
      </c>
      <c r="L45" s="520"/>
      <c r="M45" s="520"/>
      <c r="N45" s="520"/>
      <c r="O45" s="520"/>
      <c r="P45" s="520"/>
      <c r="Q45" s="520"/>
      <c r="R45" s="520"/>
      <c r="S45" s="520"/>
      <c r="T45" s="520"/>
      <c r="U45" s="520"/>
      <c r="V45" s="520"/>
      <c r="W45" s="520"/>
      <c r="X45" s="520"/>
      <c r="Y45" s="520"/>
    </row>
    <row r="46" spans="1:25" ht="28.9" customHeight="1" x14ac:dyDescent="0.25">
      <c r="A46" s="520"/>
      <c r="B46" s="503">
        <f t="shared" si="1"/>
        <v>43</v>
      </c>
      <c r="C46" s="503" t="s">
        <v>355</v>
      </c>
      <c r="D46" s="503" t="s">
        <v>224</v>
      </c>
      <c r="E46" s="503"/>
      <c r="F46" s="503"/>
      <c r="G46" s="505" t="s">
        <v>215</v>
      </c>
      <c r="H46" s="505" t="s">
        <v>314</v>
      </c>
      <c r="I46" s="505" t="s">
        <v>215</v>
      </c>
      <c r="J46" s="505" t="s">
        <v>215</v>
      </c>
      <c r="K46" s="503" t="s">
        <v>215</v>
      </c>
      <c r="L46" s="520"/>
      <c r="M46" s="520"/>
      <c r="N46" s="520"/>
      <c r="O46" s="520"/>
      <c r="P46" s="520"/>
      <c r="Q46" s="520"/>
      <c r="R46" s="520"/>
      <c r="S46" s="520"/>
      <c r="T46" s="520"/>
      <c r="U46" s="520"/>
      <c r="V46" s="520"/>
      <c r="W46" s="520"/>
      <c r="X46" s="520"/>
      <c r="Y46" s="520"/>
    </row>
    <row r="47" spans="1:25" ht="28.9" customHeight="1" x14ac:dyDescent="0.25">
      <c r="A47" s="520"/>
      <c r="B47" s="503">
        <f t="shared" si="1"/>
        <v>44</v>
      </c>
      <c r="C47" s="503" t="s">
        <v>356</v>
      </c>
      <c r="D47" s="503" t="s">
        <v>224</v>
      </c>
      <c r="E47" s="503"/>
      <c r="F47" s="503"/>
      <c r="G47" s="505" t="s">
        <v>215</v>
      </c>
      <c r="H47" s="505" t="s">
        <v>314</v>
      </c>
      <c r="I47" s="505" t="s">
        <v>215</v>
      </c>
      <c r="J47" s="505" t="s">
        <v>215</v>
      </c>
      <c r="K47" s="503" t="s">
        <v>215</v>
      </c>
      <c r="L47" s="520"/>
      <c r="M47" s="520"/>
      <c r="N47" s="520"/>
      <c r="O47" s="520"/>
      <c r="P47" s="520"/>
      <c r="Q47" s="520"/>
      <c r="R47" s="520"/>
      <c r="S47" s="520"/>
      <c r="T47" s="520"/>
      <c r="U47" s="520"/>
      <c r="V47" s="520"/>
      <c r="W47" s="520"/>
      <c r="X47" s="520"/>
      <c r="Y47" s="520"/>
    </row>
    <row r="48" spans="1:25" ht="28.9" customHeight="1" x14ac:dyDescent="0.25">
      <c r="A48" s="520"/>
      <c r="B48" s="503">
        <f t="shared" si="1"/>
        <v>45</v>
      </c>
      <c r="C48" s="503" t="s">
        <v>357</v>
      </c>
      <c r="D48" s="503" t="s">
        <v>224</v>
      </c>
      <c r="E48" s="503"/>
      <c r="F48" s="503"/>
      <c r="G48" s="505" t="s">
        <v>215</v>
      </c>
      <c r="H48" s="505" t="s">
        <v>314</v>
      </c>
      <c r="I48" s="505" t="s">
        <v>215</v>
      </c>
      <c r="J48" s="505" t="s">
        <v>215</v>
      </c>
      <c r="K48" s="503" t="s">
        <v>215</v>
      </c>
      <c r="L48" s="520"/>
      <c r="M48" s="520"/>
      <c r="N48" s="520"/>
      <c r="O48" s="520"/>
      <c r="P48" s="520"/>
      <c r="Q48" s="520"/>
      <c r="R48" s="520"/>
      <c r="S48" s="520"/>
      <c r="T48" s="520"/>
      <c r="U48" s="520"/>
      <c r="V48" s="520"/>
      <c r="W48" s="520"/>
      <c r="X48" s="520"/>
      <c r="Y48" s="520"/>
    </row>
    <row r="49" spans="1:25" ht="28.9" customHeight="1" x14ac:dyDescent="0.25">
      <c r="A49" s="520"/>
      <c r="B49" s="503">
        <f t="shared" si="1"/>
        <v>46</v>
      </c>
      <c r="C49" s="503" t="s">
        <v>106</v>
      </c>
      <c r="D49" s="503" t="s">
        <v>105</v>
      </c>
      <c r="E49" s="503"/>
      <c r="F49" s="503"/>
      <c r="G49" s="505" t="s">
        <v>217</v>
      </c>
      <c r="H49" s="505" t="s">
        <v>309</v>
      </c>
      <c r="I49" s="505" t="s">
        <v>215</v>
      </c>
      <c r="J49" s="505" t="s">
        <v>215</v>
      </c>
      <c r="K49" s="503" t="s">
        <v>215</v>
      </c>
      <c r="L49" s="520"/>
      <c r="M49" s="520"/>
      <c r="N49" s="520"/>
      <c r="O49" s="520"/>
      <c r="P49" s="520"/>
      <c r="Q49" s="520"/>
      <c r="R49" s="520"/>
      <c r="S49" s="520"/>
      <c r="T49" s="520"/>
      <c r="U49" s="520"/>
      <c r="V49" s="520"/>
      <c r="W49" s="520"/>
      <c r="X49" s="520"/>
      <c r="Y49" s="520"/>
    </row>
    <row r="50" spans="1:25" ht="28.9" customHeight="1" x14ac:dyDescent="0.25">
      <c r="A50" s="520"/>
      <c r="B50" s="503">
        <f t="shared" si="1"/>
        <v>47</v>
      </c>
      <c r="C50" s="503" t="s">
        <v>358</v>
      </c>
      <c r="D50" s="503" t="s">
        <v>224</v>
      </c>
      <c r="E50" s="503"/>
      <c r="F50" s="503"/>
      <c r="G50" s="505" t="s">
        <v>215</v>
      </c>
      <c r="H50" s="505" t="s">
        <v>314</v>
      </c>
      <c r="I50" s="505" t="s">
        <v>217</v>
      </c>
      <c r="J50" s="505" t="s">
        <v>217</v>
      </c>
      <c r="K50" s="503" t="s">
        <v>215</v>
      </c>
      <c r="L50" s="520"/>
      <c r="M50" s="520"/>
      <c r="N50" s="520"/>
      <c r="O50" s="520"/>
      <c r="P50" s="520"/>
      <c r="Q50" s="520"/>
      <c r="R50" s="520"/>
      <c r="S50" s="520"/>
      <c r="T50" s="520"/>
      <c r="U50" s="520"/>
      <c r="V50" s="520"/>
      <c r="W50" s="520"/>
      <c r="X50" s="520"/>
      <c r="Y50" s="520"/>
    </row>
    <row r="51" spans="1:25" ht="29.65" customHeight="1" x14ac:dyDescent="0.25">
      <c r="A51" s="520"/>
      <c r="B51" s="503">
        <f t="shared" si="1"/>
        <v>48</v>
      </c>
      <c r="C51" s="503" t="s">
        <v>359</v>
      </c>
      <c r="D51" s="503" t="s">
        <v>224</v>
      </c>
      <c r="E51" s="503"/>
      <c r="F51" s="503"/>
      <c r="G51" s="505" t="s">
        <v>343</v>
      </c>
      <c r="H51" s="505" t="s">
        <v>344</v>
      </c>
      <c r="I51" s="505" t="s">
        <v>215</v>
      </c>
      <c r="J51" s="505" t="s">
        <v>215</v>
      </c>
      <c r="K51" s="503" t="s">
        <v>215</v>
      </c>
      <c r="L51" s="520"/>
      <c r="M51" s="520"/>
      <c r="N51" s="520"/>
      <c r="O51" s="520"/>
      <c r="P51" s="520"/>
      <c r="Q51" s="520"/>
      <c r="R51" s="520"/>
      <c r="S51" s="520"/>
      <c r="T51" s="520"/>
      <c r="U51" s="520"/>
      <c r="V51" s="520"/>
      <c r="W51" s="520"/>
      <c r="X51" s="520"/>
      <c r="Y51" s="520"/>
    </row>
    <row r="52" spans="1:25" ht="28.9" customHeight="1" x14ac:dyDescent="0.25">
      <c r="A52" s="520"/>
      <c r="B52" s="503">
        <f t="shared" si="1"/>
        <v>49</v>
      </c>
      <c r="C52" s="503" t="s">
        <v>360</v>
      </c>
      <c r="D52" s="503" t="s">
        <v>224</v>
      </c>
      <c r="E52" s="503"/>
      <c r="F52" s="503"/>
      <c r="G52" s="505" t="s">
        <v>215</v>
      </c>
      <c r="H52" s="505" t="s">
        <v>314</v>
      </c>
      <c r="I52" s="505" t="s">
        <v>215</v>
      </c>
      <c r="J52" s="505" t="s">
        <v>215</v>
      </c>
      <c r="K52" s="503" t="s">
        <v>215</v>
      </c>
      <c r="L52" s="520"/>
      <c r="M52" s="520"/>
      <c r="N52" s="520"/>
      <c r="O52" s="520"/>
      <c r="P52" s="520"/>
      <c r="Q52" s="520"/>
      <c r="R52" s="520"/>
      <c r="S52" s="520"/>
      <c r="T52" s="520"/>
      <c r="U52" s="520"/>
      <c r="V52" s="520"/>
      <c r="W52" s="520"/>
      <c r="X52" s="520"/>
      <c r="Y52" s="520"/>
    </row>
    <row r="53" spans="1:25" ht="28.9" customHeight="1" x14ac:dyDescent="0.25">
      <c r="A53" s="520"/>
      <c r="B53" s="503">
        <f t="shared" si="1"/>
        <v>50</v>
      </c>
      <c r="C53" s="503" t="s">
        <v>361</v>
      </c>
      <c r="D53" s="503" t="s">
        <v>224</v>
      </c>
      <c r="E53" s="503"/>
      <c r="F53" s="503"/>
      <c r="G53" s="505" t="s">
        <v>215</v>
      </c>
      <c r="H53" s="505" t="s">
        <v>314</v>
      </c>
      <c r="I53" s="505" t="s">
        <v>215</v>
      </c>
      <c r="J53" s="505" t="s">
        <v>215</v>
      </c>
      <c r="K53" s="503" t="s">
        <v>215</v>
      </c>
      <c r="L53" s="520"/>
      <c r="M53" s="520"/>
      <c r="N53" s="520"/>
      <c r="O53" s="520"/>
      <c r="P53" s="520"/>
      <c r="Q53" s="520"/>
      <c r="R53" s="520"/>
      <c r="S53" s="520"/>
      <c r="T53" s="520"/>
      <c r="U53" s="520"/>
      <c r="V53" s="520"/>
      <c r="W53" s="520"/>
      <c r="X53" s="520"/>
      <c r="Y53" s="520"/>
    </row>
    <row r="54" spans="1:25" ht="29.65" customHeight="1" x14ac:dyDescent="0.25">
      <c r="A54" s="520"/>
      <c r="B54" s="503">
        <f t="shared" si="1"/>
        <v>51</v>
      </c>
      <c r="C54" s="503" t="s">
        <v>362</v>
      </c>
      <c r="D54" s="503" t="s">
        <v>224</v>
      </c>
      <c r="E54" s="503"/>
      <c r="F54" s="503"/>
      <c r="G54" s="505" t="s">
        <v>215</v>
      </c>
      <c r="H54" s="505" t="s">
        <v>314</v>
      </c>
      <c r="I54" s="505" t="s">
        <v>215</v>
      </c>
      <c r="J54" s="505" t="s">
        <v>215</v>
      </c>
      <c r="K54" s="503"/>
      <c r="L54" s="520"/>
      <c r="M54" s="520"/>
      <c r="N54" s="520"/>
      <c r="O54" s="520"/>
      <c r="P54" s="520"/>
      <c r="Q54" s="520"/>
      <c r="R54" s="520"/>
      <c r="S54" s="520"/>
      <c r="T54" s="520"/>
      <c r="U54" s="520"/>
      <c r="V54" s="520"/>
      <c r="W54" s="520"/>
      <c r="X54" s="520"/>
      <c r="Y54" s="520"/>
    </row>
    <row r="55" spans="1:25" ht="28.9" customHeight="1" x14ac:dyDescent="0.25">
      <c r="A55" s="520"/>
      <c r="B55" s="503">
        <f t="shared" si="1"/>
        <v>52</v>
      </c>
      <c r="C55" s="503" t="s">
        <v>363</v>
      </c>
      <c r="D55" s="503" t="s">
        <v>225</v>
      </c>
      <c r="E55" s="503"/>
      <c r="F55" s="503"/>
      <c r="G55" s="505" t="s">
        <v>215</v>
      </c>
      <c r="H55" s="505" t="s">
        <v>314</v>
      </c>
      <c r="I55" s="505" t="s">
        <v>215</v>
      </c>
      <c r="J55" s="505" t="s">
        <v>215</v>
      </c>
      <c r="K55" s="503" t="s">
        <v>215</v>
      </c>
      <c r="L55" s="520"/>
      <c r="M55" s="520"/>
      <c r="N55" s="520"/>
      <c r="O55" s="520"/>
      <c r="P55" s="520"/>
      <c r="Q55" s="520"/>
      <c r="R55" s="520"/>
      <c r="S55" s="520"/>
      <c r="T55" s="520"/>
      <c r="U55" s="520"/>
      <c r="V55" s="520"/>
      <c r="W55" s="520"/>
      <c r="X55" s="520"/>
      <c r="Y55" s="520"/>
    </row>
    <row r="56" spans="1:25" ht="28.9" customHeight="1" x14ac:dyDescent="0.25">
      <c r="A56" s="520"/>
      <c r="B56" s="503">
        <f t="shared" si="1"/>
        <v>53</v>
      </c>
      <c r="C56" s="503" t="s">
        <v>364</v>
      </c>
      <c r="D56" s="503" t="s">
        <v>225</v>
      </c>
      <c r="E56" s="503"/>
      <c r="F56" s="503"/>
      <c r="G56" s="505" t="s">
        <v>217</v>
      </c>
      <c r="H56" s="505" t="s">
        <v>309</v>
      </c>
      <c r="I56" s="505" t="s">
        <v>217</v>
      </c>
      <c r="J56" s="505" t="s">
        <v>217</v>
      </c>
      <c r="K56" s="503" t="s">
        <v>215</v>
      </c>
      <c r="L56" s="520"/>
      <c r="M56" s="520"/>
      <c r="N56" s="520"/>
      <c r="O56" s="520"/>
      <c r="P56" s="520"/>
      <c r="Q56" s="520"/>
      <c r="R56" s="520"/>
      <c r="S56" s="520"/>
      <c r="T56" s="520"/>
      <c r="U56" s="520"/>
      <c r="V56" s="520"/>
      <c r="W56" s="520"/>
      <c r="X56" s="520"/>
      <c r="Y56" s="520"/>
    </row>
    <row r="57" spans="1:25" ht="28.9" customHeight="1" x14ac:dyDescent="0.25">
      <c r="A57" s="520"/>
      <c r="B57" s="503">
        <f t="shared" si="1"/>
        <v>54</v>
      </c>
      <c r="C57" s="503" t="s">
        <v>365</v>
      </c>
      <c r="D57" s="503" t="s">
        <v>225</v>
      </c>
      <c r="E57" s="503"/>
      <c r="F57" s="503"/>
      <c r="G57" s="505" t="s">
        <v>217</v>
      </c>
      <c r="H57" s="505" t="s">
        <v>309</v>
      </c>
      <c r="I57" s="505" t="s">
        <v>215</v>
      </c>
      <c r="J57" s="505" t="s">
        <v>215</v>
      </c>
      <c r="K57" s="503" t="s">
        <v>215</v>
      </c>
      <c r="L57" s="520"/>
      <c r="M57" s="520"/>
      <c r="N57" s="520"/>
      <c r="O57" s="520"/>
      <c r="P57" s="520"/>
      <c r="Q57" s="520"/>
      <c r="R57" s="520"/>
      <c r="S57" s="520"/>
      <c r="T57" s="520"/>
      <c r="U57" s="520"/>
      <c r="V57" s="520"/>
      <c r="W57" s="520"/>
      <c r="X57" s="520"/>
      <c r="Y57" s="520"/>
    </row>
    <row r="58" spans="1:25" ht="28.9" customHeight="1" x14ac:dyDescent="0.25">
      <c r="A58" s="520"/>
      <c r="B58" s="503">
        <f t="shared" si="1"/>
        <v>55</v>
      </c>
      <c r="C58" s="503" t="s">
        <v>366</v>
      </c>
      <c r="D58" s="503" t="s">
        <v>225</v>
      </c>
      <c r="E58" s="503"/>
      <c r="F58" s="503"/>
      <c r="G58" s="505" t="s">
        <v>217</v>
      </c>
      <c r="H58" s="505" t="s">
        <v>309</v>
      </c>
      <c r="I58" s="505" t="s">
        <v>215</v>
      </c>
      <c r="J58" s="505" t="s">
        <v>215</v>
      </c>
      <c r="K58" s="503" t="s">
        <v>215</v>
      </c>
      <c r="L58" s="520"/>
      <c r="M58" s="520"/>
      <c r="N58" s="520"/>
      <c r="O58" s="520"/>
      <c r="P58" s="520"/>
      <c r="Q58" s="520"/>
      <c r="R58" s="520"/>
      <c r="S58" s="520"/>
      <c r="T58" s="520"/>
      <c r="U58" s="520"/>
      <c r="V58" s="520"/>
      <c r="W58" s="520"/>
      <c r="X58" s="520"/>
      <c r="Y58" s="520"/>
    </row>
    <row r="59" spans="1:25" ht="28.9" customHeight="1" x14ac:dyDescent="0.25">
      <c r="A59" s="520"/>
      <c r="B59" s="503">
        <f t="shared" si="1"/>
        <v>56</v>
      </c>
      <c r="C59" s="503" t="s">
        <v>367</v>
      </c>
      <c r="D59" s="503" t="s">
        <v>221</v>
      </c>
      <c r="E59" s="503"/>
      <c r="F59" s="503"/>
      <c r="G59" s="505" t="s">
        <v>217</v>
      </c>
      <c r="H59" s="505" t="s">
        <v>309</v>
      </c>
      <c r="I59" s="505" t="s">
        <v>217</v>
      </c>
      <c r="J59" s="505" t="s">
        <v>217</v>
      </c>
      <c r="K59" s="503" t="s">
        <v>215</v>
      </c>
      <c r="L59" s="520"/>
      <c r="M59" s="520"/>
      <c r="N59" s="520"/>
      <c r="O59" s="520"/>
      <c r="P59" s="520"/>
      <c r="Q59" s="520"/>
      <c r="R59" s="520"/>
      <c r="S59" s="520"/>
      <c r="T59" s="520"/>
      <c r="U59" s="520"/>
      <c r="V59" s="520"/>
      <c r="W59" s="520"/>
      <c r="X59" s="520"/>
      <c r="Y59" s="520"/>
    </row>
    <row r="60" spans="1:25" ht="28.9" customHeight="1" x14ac:dyDescent="0.25">
      <c r="A60" s="520"/>
      <c r="B60" s="503">
        <f t="shared" si="1"/>
        <v>57</v>
      </c>
      <c r="C60" s="503" t="s">
        <v>368</v>
      </c>
      <c r="D60" s="503" t="s">
        <v>226</v>
      </c>
      <c r="E60" s="503"/>
      <c r="F60" s="503"/>
      <c r="G60" s="505" t="s">
        <v>215</v>
      </c>
      <c r="H60" s="505" t="s">
        <v>314</v>
      </c>
      <c r="I60" s="505" t="s">
        <v>335</v>
      </c>
      <c r="J60" s="505" t="s">
        <v>217</v>
      </c>
      <c r="K60" s="503" t="s">
        <v>215</v>
      </c>
      <c r="L60" s="520"/>
      <c r="M60" s="520"/>
      <c r="N60" s="520"/>
      <c r="O60" s="520"/>
      <c r="P60" s="520"/>
      <c r="Q60" s="520"/>
      <c r="R60" s="520"/>
      <c r="S60" s="520"/>
      <c r="T60" s="520"/>
      <c r="U60" s="520"/>
      <c r="V60" s="520"/>
      <c r="W60" s="520"/>
      <c r="X60" s="520"/>
      <c r="Y60" s="520"/>
    </row>
    <row r="61" spans="1:25" ht="28.9" customHeight="1" x14ac:dyDescent="0.25">
      <c r="A61" s="520"/>
      <c r="B61" s="503">
        <f t="shared" si="1"/>
        <v>58</v>
      </c>
      <c r="C61" s="503" t="s">
        <v>369</v>
      </c>
      <c r="D61" s="503" t="s">
        <v>221</v>
      </c>
      <c r="E61" s="503"/>
      <c r="F61" s="503"/>
      <c r="G61" s="505" t="s">
        <v>215</v>
      </c>
      <c r="H61" s="505" t="s">
        <v>314</v>
      </c>
      <c r="I61" s="505" t="s">
        <v>217</v>
      </c>
      <c r="J61" s="505" t="s">
        <v>217</v>
      </c>
      <c r="K61" s="503" t="s">
        <v>215</v>
      </c>
      <c r="L61" s="520"/>
      <c r="M61" s="520"/>
      <c r="N61" s="520"/>
      <c r="O61" s="520"/>
      <c r="P61" s="520"/>
      <c r="Q61" s="520"/>
      <c r="R61" s="520"/>
      <c r="S61" s="520"/>
      <c r="T61" s="520"/>
      <c r="U61" s="520"/>
      <c r="V61" s="520"/>
      <c r="W61" s="520"/>
      <c r="X61" s="520"/>
      <c r="Y61" s="520"/>
    </row>
    <row r="62" spans="1:25" ht="28.9" customHeight="1" x14ac:dyDescent="0.25">
      <c r="A62" s="520"/>
      <c r="B62" s="503">
        <f t="shared" si="1"/>
        <v>59</v>
      </c>
      <c r="C62" s="503" t="s">
        <v>370</v>
      </c>
      <c r="D62" s="503" t="s">
        <v>221</v>
      </c>
      <c r="E62" s="503"/>
      <c r="F62" s="503"/>
      <c r="G62" s="505" t="s">
        <v>215</v>
      </c>
      <c r="H62" s="505" t="s">
        <v>314</v>
      </c>
      <c r="I62" s="505" t="s">
        <v>335</v>
      </c>
      <c r="J62" s="505" t="s">
        <v>217</v>
      </c>
      <c r="K62" s="503" t="s">
        <v>215</v>
      </c>
      <c r="L62" s="520"/>
      <c r="M62" s="520"/>
      <c r="N62" s="520"/>
      <c r="O62" s="520"/>
      <c r="P62" s="520"/>
      <c r="Q62" s="520"/>
      <c r="R62" s="520"/>
      <c r="S62" s="520"/>
      <c r="T62" s="520"/>
      <c r="U62" s="520"/>
      <c r="V62" s="520"/>
      <c r="W62" s="520"/>
      <c r="X62" s="520"/>
      <c r="Y62" s="520"/>
    </row>
    <row r="63" spans="1:25" ht="28.9" customHeight="1" x14ac:dyDescent="0.25">
      <c r="A63" s="520"/>
      <c r="B63" s="503">
        <f t="shared" si="1"/>
        <v>60</v>
      </c>
      <c r="C63" s="503" t="s">
        <v>371</v>
      </c>
      <c r="D63" s="503" t="s">
        <v>221</v>
      </c>
      <c r="E63" s="503"/>
      <c r="F63" s="503"/>
      <c r="G63" s="505" t="s">
        <v>215</v>
      </c>
      <c r="H63" s="505" t="s">
        <v>314</v>
      </c>
      <c r="I63" s="505" t="s">
        <v>217</v>
      </c>
      <c r="J63" s="505" t="s">
        <v>217</v>
      </c>
      <c r="K63" s="503" t="s">
        <v>215</v>
      </c>
      <c r="L63" s="520"/>
      <c r="M63" s="520"/>
      <c r="N63" s="520"/>
      <c r="O63" s="520"/>
      <c r="P63" s="520"/>
      <c r="Q63" s="520"/>
      <c r="R63" s="520"/>
      <c r="S63" s="520"/>
      <c r="T63" s="520"/>
      <c r="U63" s="520"/>
      <c r="V63" s="520"/>
      <c r="W63" s="520"/>
      <c r="X63" s="520"/>
      <c r="Y63" s="520"/>
    </row>
    <row r="64" spans="1:25" ht="28.9" customHeight="1" x14ac:dyDescent="0.25">
      <c r="A64" s="520"/>
      <c r="B64" s="503">
        <f t="shared" si="1"/>
        <v>61</v>
      </c>
      <c r="C64" s="503" t="s">
        <v>372</v>
      </c>
      <c r="D64" s="503" t="s">
        <v>221</v>
      </c>
      <c r="E64" s="503"/>
      <c r="F64" s="503"/>
      <c r="G64" s="505" t="s">
        <v>215</v>
      </c>
      <c r="H64" s="505" t="s">
        <v>314</v>
      </c>
      <c r="I64" s="505" t="s">
        <v>335</v>
      </c>
      <c r="J64" s="505" t="s">
        <v>217</v>
      </c>
      <c r="K64" s="503" t="s">
        <v>215</v>
      </c>
      <c r="L64" s="520"/>
      <c r="M64" s="520"/>
      <c r="N64" s="520"/>
      <c r="O64" s="520"/>
      <c r="P64" s="520"/>
      <c r="Q64" s="520"/>
      <c r="R64" s="520"/>
      <c r="S64" s="520"/>
      <c r="T64" s="520"/>
      <c r="U64" s="520"/>
      <c r="V64" s="520"/>
      <c r="W64" s="520"/>
      <c r="X64" s="520"/>
      <c r="Y64" s="520"/>
    </row>
    <row r="65" spans="1:25" ht="28.9" customHeight="1" x14ac:dyDescent="0.25">
      <c r="A65" s="520"/>
      <c r="B65" s="503">
        <f t="shared" si="1"/>
        <v>62</v>
      </c>
      <c r="C65" s="503" t="s">
        <v>373</v>
      </c>
      <c r="D65" s="503" t="s">
        <v>221</v>
      </c>
      <c r="E65" s="503"/>
      <c r="F65" s="503"/>
      <c r="G65" s="505" t="s">
        <v>215</v>
      </c>
      <c r="H65" s="505" t="s">
        <v>314</v>
      </c>
      <c r="I65" s="505" t="s">
        <v>335</v>
      </c>
      <c r="J65" s="505" t="s">
        <v>217</v>
      </c>
      <c r="K65" s="503" t="s">
        <v>215</v>
      </c>
      <c r="L65" s="520"/>
      <c r="M65" s="520"/>
      <c r="N65" s="520"/>
      <c r="O65" s="520"/>
      <c r="P65" s="520"/>
      <c r="Q65" s="520"/>
      <c r="R65" s="520"/>
      <c r="S65" s="520"/>
      <c r="T65" s="520"/>
      <c r="U65" s="520"/>
      <c r="V65" s="520"/>
      <c r="W65" s="520"/>
      <c r="X65" s="520"/>
      <c r="Y65" s="520"/>
    </row>
    <row r="66" spans="1:25" ht="28.9" customHeight="1" x14ac:dyDescent="0.25">
      <c r="A66" s="520"/>
      <c r="B66" s="503">
        <f t="shared" si="1"/>
        <v>63</v>
      </c>
      <c r="C66" s="503" t="s">
        <v>374</v>
      </c>
      <c r="D66" s="503" t="s">
        <v>221</v>
      </c>
      <c r="E66" s="503"/>
      <c r="F66" s="503"/>
      <c r="G66" s="505" t="s">
        <v>215</v>
      </c>
      <c r="H66" s="505" t="s">
        <v>314</v>
      </c>
      <c r="I66" s="505" t="s">
        <v>335</v>
      </c>
      <c r="J66" s="505" t="s">
        <v>335</v>
      </c>
      <c r="K66" s="503" t="s">
        <v>215</v>
      </c>
      <c r="L66" s="520"/>
      <c r="M66" s="520"/>
      <c r="N66" s="520"/>
      <c r="O66" s="520"/>
      <c r="P66" s="520"/>
      <c r="Q66" s="520"/>
      <c r="R66" s="520"/>
      <c r="S66" s="520"/>
      <c r="T66" s="520"/>
      <c r="U66" s="520"/>
      <c r="V66" s="520"/>
      <c r="W66" s="520"/>
      <c r="X66" s="520"/>
      <c r="Y66" s="520"/>
    </row>
    <row r="67" spans="1:25" ht="28.9" customHeight="1" x14ac:dyDescent="0.25">
      <c r="A67" s="520"/>
      <c r="B67" s="503">
        <f t="shared" si="1"/>
        <v>64</v>
      </c>
      <c r="C67" s="503" t="s">
        <v>375</v>
      </c>
      <c r="D67" s="503" t="s">
        <v>221</v>
      </c>
      <c r="E67" s="503"/>
      <c r="F67" s="503"/>
      <c r="G67" s="505" t="s">
        <v>215</v>
      </c>
      <c r="H67" s="505" t="s">
        <v>314</v>
      </c>
      <c r="I67" s="505" t="s">
        <v>335</v>
      </c>
      <c r="J67" s="505" t="s">
        <v>217</v>
      </c>
      <c r="K67" s="503" t="s">
        <v>215</v>
      </c>
      <c r="L67" s="520"/>
      <c r="M67" s="520"/>
      <c r="N67" s="520"/>
      <c r="O67" s="520"/>
      <c r="P67" s="520"/>
      <c r="Q67" s="520"/>
      <c r="R67" s="520"/>
      <c r="S67" s="520"/>
      <c r="T67" s="520"/>
      <c r="U67" s="520"/>
      <c r="V67" s="520"/>
      <c r="W67" s="520"/>
      <c r="X67" s="520"/>
      <c r="Y67" s="520"/>
    </row>
    <row r="68" spans="1:25" ht="28.9" customHeight="1" x14ac:dyDescent="0.25">
      <c r="A68" s="520"/>
      <c r="B68" s="503">
        <f t="shared" si="1"/>
        <v>65</v>
      </c>
      <c r="C68" s="503" t="s">
        <v>376</v>
      </c>
      <c r="D68" s="503" t="s">
        <v>221</v>
      </c>
      <c r="E68" s="503"/>
      <c r="F68" s="503"/>
      <c r="G68" s="505" t="s">
        <v>217</v>
      </c>
      <c r="H68" s="505" t="s">
        <v>309</v>
      </c>
      <c r="I68" s="505" t="s">
        <v>217</v>
      </c>
      <c r="J68" s="505" t="s">
        <v>217</v>
      </c>
      <c r="K68" s="503" t="s">
        <v>215</v>
      </c>
      <c r="L68" s="520"/>
      <c r="M68" s="520"/>
      <c r="N68" s="520"/>
      <c r="O68" s="520"/>
      <c r="P68" s="520"/>
      <c r="Q68" s="520"/>
      <c r="R68" s="520"/>
      <c r="S68" s="520"/>
      <c r="T68" s="520"/>
      <c r="U68" s="520"/>
      <c r="V68" s="520"/>
      <c r="W68" s="520"/>
      <c r="X68" s="520"/>
      <c r="Y68" s="520"/>
    </row>
    <row r="69" spans="1:25" ht="28.9" customHeight="1" x14ac:dyDescent="0.25">
      <c r="A69" s="520"/>
      <c r="B69" s="503">
        <f t="shared" si="1"/>
        <v>66</v>
      </c>
      <c r="C69" s="503" t="s">
        <v>377</v>
      </c>
      <c r="D69" s="505" t="s">
        <v>220</v>
      </c>
      <c r="E69" s="503"/>
      <c r="F69" s="503"/>
      <c r="G69" s="505" t="s">
        <v>215</v>
      </c>
      <c r="H69" s="505" t="s">
        <v>314</v>
      </c>
      <c r="I69" s="505" t="s">
        <v>217</v>
      </c>
      <c r="J69" s="505" t="s">
        <v>217</v>
      </c>
      <c r="K69" s="503" t="s">
        <v>215</v>
      </c>
      <c r="L69" s="520"/>
      <c r="M69" s="520"/>
      <c r="N69" s="520"/>
      <c r="O69" s="520"/>
      <c r="P69" s="520"/>
      <c r="Q69" s="520"/>
      <c r="R69" s="520"/>
      <c r="S69" s="520"/>
      <c r="T69" s="520"/>
      <c r="U69" s="520"/>
      <c r="V69" s="520"/>
      <c r="W69" s="520"/>
      <c r="X69" s="520"/>
      <c r="Y69" s="520"/>
    </row>
    <row r="70" spans="1:25" ht="28.9" customHeight="1" x14ac:dyDescent="0.25">
      <c r="A70" s="520"/>
      <c r="B70" s="503">
        <f t="shared" si="1"/>
        <v>67</v>
      </c>
      <c r="C70" s="503" t="s">
        <v>378</v>
      </c>
      <c r="D70" s="505" t="s">
        <v>220</v>
      </c>
      <c r="E70" s="503"/>
      <c r="F70" s="503"/>
      <c r="G70" s="505" t="s">
        <v>215</v>
      </c>
      <c r="H70" s="505" t="s">
        <v>314</v>
      </c>
      <c r="I70" s="505" t="s">
        <v>217</v>
      </c>
      <c r="J70" s="505" t="s">
        <v>217</v>
      </c>
      <c r="K70" s="503" t="s">
        <v>215</v>
      </c>
      <c r="L70" s="520"/>
      <c r="M70" s="520"/>
      <c r="N70" s="520"/>
      <c r="O70" s="520"/>
      <c r="P70" s="520"/>
      <c r="Q70" s="520"/>
      <c r="R70" s="520"/>
      <c r="S70" s="520"/>
      <c r="T70" s="520"/>
      <c r="U70" s="520"/>
      <c r="V70" s="520"/>
      <c r="W70" s="520"/>
      <c r="X70" s="520"/>
      <c r="Y70" s="520"/>
    </row>
    <row r="71" spans="1:25" ht="29.45" customHeight="1" x14ac:dyDescent="0.25">
      <c r="A71" s="520"/>
      <c r="B71" s="709">
        <f t="shared" si="1"/>
        <v>68</v>
      </c>
      <c r="C71" s="709" t="s">
        <v>379</v>
      </c>
      <c r="D71" s="722" t="s">
        <v>220</v>
      </c>
      <c r="E71" s="709"/>
      <c r="F71" s="709"/>
      <c r="G71" s="722" t="s">
        <v>217</v>
      </c>
      <c r="H71" s="722" t="s">
        <v>309</v>
      </c>
      <c r="I71" s="722" t="s">
        <v>217</v>
      </c>
      <c r="J71" s="722" t="s">
        <v>217</v>
      </c>
      <c r="K71" s="503" t="s">
        <v>215</v>
      </c>
      <c r="L71" s="520"/>
      <c r="M71" s="520"/>
      <c r="N71" s="520"/>
      <c r="O71" s="520"/>
      <c r="P71" s="520"/>
      <c r="Q71" s="520"/>
      <c r="R71" s="520"/>
      <c r="S71" s="520"/>
      <c r="T71" s="520"/>
      <c r="U71" s="520"/>
      <c r="V71" s="520"/>
      <c r="W71" s="520"/>
      <c r="X71" s="520"/>
      <c r="Y71" s="520"/>
    </row>
    <row r="72" spans="1:25" ht="28.9" customHeight="1" x14ac:dyDescent="0.25">
      <c r="A72" s="520"/>
      <c r="B72" s="701">
        <f t="shared" si="1"/>
        <v>69</v>
      </c>
      <c r="C72" s="701" t="s">
        <v>245</v>
      </c>
      <c r="D72" s="701" t="s">
        <v>238</v>
      </c>
      <c r="E72" s="701"/>
      <c r="F72" s="701"/>
      <c r="G72" s="865" t="s">
        <v>217</v>
      </c>
      <c r="H72" s="865" t="s">
        <v>314</v>
      </c>
      <c r="I72" s="865" t="s">
        <v>215</v>
      </c>
      <c r="J72" s="865" t="s">
        <v>215</v>
      </c>
      <c r="K72" s="503" t="s">
        <v>215</v>
      </c>
      <c r="L72" s="520"/>
      <c r="M72" s="520"/>
      <c r="N72" s="520"/>
      <c r="O72" s="520"/>
      <c r="P72" s="520"/>
      <c r="Q72" s="520"/>
      <c r="R72" s="520"/>
      <c r="S72" s="520"/>
      <c r="T72" s="520"/>
      <c r="U72" s="520"/>
      <c r="V72" s="520"/>
      <c r="W72" s="520"/>
      <c r="X72" s="520"/>
      <c r="Y72" s="520"/>
    </row>
    <row r="73" spans="1:25" ht="28.9" customHeight="1" x14ac:dyDescent="0.25">
      <c r="A73" s="520"/>
      <c r="B73" s="503">
        <f t="shared" ref="B73:B102" si="2">B72+1</f>
        <v>70</v>
      </c>
      <c r="C73" s="503" t="s">
        <v>246</v>
      </c>
      <c r="D73" s="503" t="s">
        <v>238</v>
      </c>
      <c r="E73" s="503"/>
      <c r="F73" s="503"/>
      <c r="G73" s="505" t="s">
        <v>217</v>
      </c>
      <c r="H73" s="505" t="s">
        <v>314</v>
      </c>
      <c r="I73" s="505" t="s">
        <v>215</v>
      </c>
      <c r="J73" s="505" t="s">
        <v>215</v>
      </c>
      <c r="K73" s="503" t="s">
        <v>215</v>
      </c>
      <c r="L73" s="520"/>
      <c r="M73" s="520"/>
      <c r="N73" s="520"/>
      <c r="O73" s="520"/>
      <c r="P73" s="520"/>
      <c r="Q73" s="520"/>
      <c r="R73" s="520"/>
      <c r="S73" s="520"/>
      <c r="T73" s="520"/>
      <c r="U73" s="520"/>
      <c r="V73" s="520"/>
      <c r="W73" s="520"/>
      <c r="X73" s="520"/>
      <c r="Y73" s="520"/>
    </row>
    <row r="74" spans="1:25" ht="28.9" customHeight="1" x14ac:dyDescent="0.25">
      <c r="A74" s="520"/>
      <c r="B74" s="503">
        <f t="shared" si="2"/>
        <v>71</v>
      </c>
      <c r="C74" s="503" t="s">
        <v>247</v>
      </c>
      <c r="D74" s="503" t="s">
        <v>238</v>
      </c>
      <c r="E74" s="503"/>
      <c r="F74" s="503"/>
      <c r="G74" s="505" t="s">
        <v>217</v>
      </c>
      <c r="H74" s="505" t="s">
        <v>314</v>
      </c>
      <c r="I74" s="505" t="s">
        <v>215</v>
      </c>
      <c r="J74" s="505" t="s">
        <v>215</v>
      </c>
      <c r="K74" s="503" t="s">
        <v>215</v>
      </c>
      <c r="L74" s="520"/>
      <c r="M74" s="520"/>
      <c r="N74" s="520"/>
      <c r="O74" s="520"/>
      <c r="P74" s="520"/>
      <c r="Q74" s="520"/>
      <c r="R74" s="520"/>
      <c r="S74" s="520"/>
      <c r="T74" s="520"/>
      <c r="U74" s="520"/>
      <c r="V74" s="520"/>
      <c r="W74" s="520"/>
      <c r="X74" s="520"/>
      <c r="Y74" s="520"/>
    </row>
    <row r="75" spans="1:25" ht="28.9" customHeight="1" x14ac:dyDescent="0.25">
      <c r="A75" s="520"/>
      <c r="B75" s="503">
        <f t="shared" si="2"/>
        <v>72</v>
      </c>
      <c r="C75" s="503" t="s">
        <v>251</v>
      </c>
      <c r="D75" s="503" t="s">
        <v>238</v>
      </c>
      <c r="E75" s="503"/>
      <c r="F75" s="503"/>
      <c r="G75" s="505" t="s">
        <v>215</v>
      </c>
      <c r="H75" s="505" t="s">
        <v>314</v>
      </c>
      <c r="I75" s="505" t="s">
        <v>215</v>
      </c>
      <c r="J75" s="505" t="s">
        <v>215</v>
      </c>
      <c r="K75" s="503" t="s">
        <v>215</v>
      </c>
      <c r="L75" s="520"/>
      <c r="M75" s="520"/>
      <c r="N75" s="520"/>
      <c r="O75" s="520"/>
      <c r="P75" s="520"/>
      <c r="Q75" s="520"/>
      <c r="R75" s="520"/>
      <c r="S75" s="520"/>
      <c r="T75" s="520"/>
      <c r="U75" s="520"/>
      <c r="V75" s="520"/>
      <c r="W75" s="520"/>
      <c r="X75" s="520"/>
      <c r="Y75" s="520"/>
    </row>
    <row r="76" spans="1:25" ht="29.65" customHeight="1" x14ac:dyDescent="0.25">
      <c r="A76" s="520"/>
      <c r="B76" s="503">
        <f t="shared" si="2"/>
        <v>73</v>
      </c>
      <c r="C76" s="503" t="s">
        <v>255</v>
      </c>
      <c r="D76" s="503" t="s">
        <v>238</v>
      </c>
      <c r="E76" s="503"/>
      <c r="F76" s="503"/>
      <c r="G76" s="505" t="s">
        <v>343</v>
      </c>
      <c r="H76" s="505" t="s">
        <v>344</v>
      </c>
      <c r="I76" s="505" t="s">
        <v>215</v>
      </c>
      <c r="J76" s="505" t="s">
        <v>215</v>
      </c>
      <c r="K76" s="503" t="s">
        <v>215</v>
      </c>
      <c r="L76" s="520"/>
      <c r="M76" s="520"/>
      <c r="N76" s="520"/>
      <c r="O76" s="520"/>
      <c r="P76" s="520"/>
      <c r="Q76" s="520"/>
      <c r="R76" s="520"/>
      <c r="S76" s="520"/>
      <c r="T76" s="520"/>
      <c r="U76" s="520"/>
      <c r="V76" s="520"/>
      <c r="W76" s="520"/>
      <c r="X76" s="520"/>
      <c r="Y76" s="520"/>
    </row>
    <row r="77" spans="1:25" ht="28.9" customHeight="1" x14ac:dyDescent="0.25">
      <c r="A77" s="520"/>
      <c r="B77" s="503">
        <f t="shared" si="2"/>
        <v>74</v>
      </c>
      <c r="C77" s="503" t="s">
        <v>252</v>
      </c>
      <c r="D77" s="503" t="s">
        <v>238</v>
      </c>
      <c r="E77" s="503"/>
      <c r="F77" s="503"/>
      <c r="G77" s="505" t="s">
        <v>215</v>
      </c>
      <c r="H77" s="505" t="s">
        <v>314</v>
      </c>
      <c r="I77" s="505" t="s">
        <v>215</v>
      </c>
      <c r="J77" s="505" t="s">
        <v>215</v>
      </c>
      <c r="K77" s="503" t="s">
        <v>215</v>
      </c>
      <c r="L77" s="520"/>
      <c r="M77" s="520"/>
      <c r="N77" s="520"/>
      <c r="O77" s="520"/>
      <c r="P77" s="520"/>
      <c r="Q77" s="520"/>
      <c r="R77" s="520"/>
      <c r="S77" s="520"/>
      <c r="T77" s="520"/>
      <c r="U77" s="520"/>
      <c r="V77" s="520"/>
      <c r="W77" s="520"/>
      <c r="X77" s="520"/>
      <c r="Y77" s="520"/>
    </row>
    <row r="78" spans="1:25" ht="28.9" customHeight="1" x14ac:dyDescent="0.25">
      <c r="A78" s="520"/>
      <c r="B78" s="503">
        <f t="shared" si="2"/>
        <v>75</v>
      </c>
      <c r="C78" s="503" t="s">
        <v>248</v>
      </c>
      <c r="D78" s="503" t="s">
        <v>238</v>
      </c>
      <c r="E78" s="503"/>
      <c r="F78" s="503"/>
      <c r="G78" s="505" t="s">
        <v>217</v>
      </c>
      <c r="H78" s="505" t="s">
        <v>314</v>
      </c>
      <c r="I78" s="505" t="s">
        <v>215</v>
      </c>
      <c r="J78" s="505" t="s">
        <v>215</v>
      </c>
      <c r="K78" s="503" t="s">
        <v>215</v>
      </c>
      <c r="L78" s="520"/>
      <c r="M78" s="520"/>
      <c r="N78" s="520"/>
      <c r="O78" s="520"/>
      <c r="P78" s="520"/>
      <c r="Q78" s="520"/>
      <c r="R78" s="520"/>
      <c r="S78" s="520"/>
      <c r="T78" s="520"/>
      <c r="U78" s="520"/>
      <c r="V78" s="520"/>
      <c r="W78" s="520"/>
      <c r="X78" s="520"/>
      <c r="Y78" s="520"/>
    </row>
    <row r="79" spans="1:25" ht="28.9" customHeight="1" x14ac:dyDescent="0.25">
      <c r="A79" s="520"/>
      <c r="B79" s="503">
        <f t="shared" si="2"/>
        <v>76</v>
      </c>
      <c r="C79" s="503" t="s">
        <v>253</v>
      </c>
      <c r="D79" s="503" t="s">
        <v>238</v>
      </c>
      <c r="E79" s="503"/>
      <c r="F79" s="503"/>
      <c r="G79" s="505" t="s">
        <v>215</v>
      </c>
      <c r="H79" s="505" t="s">
        <v>314</v>
      </c>
      <c r="I79" s="505" t="s">
        <v>215</v>
      </c>
      <c r="J79" s="505" t="s">
        <v>215</v>
      </c>
      <c r="K79" s="503" t="s">
        <v>215</v>
      </c>
      <c r="L79" s="520"/>
      <c r="M79" s="520"/>
      <c r="N79" s="520"/>
      <c r="O79" s="520"/>
      <c r="P79" s="520"/>
      <c r="Q79" s="520"/>
      <c r="R79" s="520"/>
      <c r="S79" s="520"/>
      <c r="T79" s="520"/>
      <c r="U79" s="520"/>
      <c r="V79" s="520"/>
      <c r="W79" s="520"/>
      <c r="X79" s="520"/>
      <c r="Y79" s="520"/>
    </row>
    <row r="80" spans="1:25" ht="29.45" customHeight="1" x14ac:dyDescent="0.25">
      <c r="A80" s="520"/>
      <c r="B80" s="709">
        <f t="shared" si="2"/>
        <v>77</v>
      </c>
      <c r="C80" s="709" t="s">
        <v>249</v>
      </c>
      <c r="D80" s="709" t="s">
        <v>238</v>
      </c>
      <c r="E80" s="709"/>
      <c r="F80" s="709"/>
      <c r="G80" s="722" t="s">
        <v>217</v>
      </c>
      <c r="H80" s="722" t="s">
        <v>314</v>
      </c>
      <c r="I80" s="722" t="s">
        <v>215</v>
      </c>
      <c r="J80" s="722" t="s">
        <v>215</v>
      </c>
      <c r="K80" s="503" t="s">
        <v>215</v>
      </c>
      <c r="L80" s="520"/>
      <c r="M80" s="520"/>
      <c r="N80" s="520"/>
      <c r="O80" s="520"/>
      <c r="P80" s="520"/>
      <c r="Q80" s="520"/>
      <c r="R80" s="520"/>
      <c r="S80" s="520"/>
      <c r="T80" s="520"/>
      <c r="U80" s="520"/>
      <c r="V80" s="520"/>
      <c r="W80" s="520"/>
      <c r="X80" s="520"/>
      <c r="Y80" s="520"/>
    </row>
    <row r="81" spans="1:25" x14ac:dyDescent="0.25">
      <c r="A81" s="520"/>
      <c r="B81" s="737">
        <f t="shared" si="2"/>
        <v>78</v>
      </c>
      <c r="C81" s="737" t="s">
        <v>272</v>
      </c>
      <c r="D81" s="737" t="s">
        <v>380</v>
      </c>
      <c r="E81" s="737"/>
      <c r="F81" s="737"/>
      <c r="G81" s="737" t="s">
        <v>217</v>
      </c>
      <c r="H81" s="1026" t="s">
        <v>381</v>
      </c>
      <c r="I81" s="737" t="s">
        <v>217</v>
      </c>
      <c r="J81" s="719" t="s">
        <v>215</v>
      </c>
      <c r="K81" s="503" t="s">
        <v>215</v>
      </c>
      <c r="L81" s="520"/>
      <c r="M81" s="520"/>
      <c r="N81" s="520"/>
      <c r="O81" s="520"/>
      <c r="P81" s="520"/>
      <c r="Q81" s="520"/>
      <c r="R81" s="520"/>
      <c r="S81" s="520"/>
      <c r="T81" s="520"/>
      <c r="U81" s="520"/>
      <c r="V81" s="520"/>
      <c r="W81" s="520"/>
      <c r="X81" s="520"/>
      <c r="Y81" s="520"/>
    </row>
    <row r="82" spans="1:25" x14ac:dyDescent="0.25">
      <c r="A82" s="520"/>
      <c r="B82" s="503">
        <f t="shared" si="2"/>
        <v>79</v>
      </c>
      <c r="C82" s="503" t="s">
        <v>271</v>
      </c>
      <c r="D82" s="503" t="s">
        <v>380</v>
      </c>
      <c r="E82" s="503"/>
      <c r="F82" s="503"/>
      <c r="G82" s="503" t="s">
        <v>217</v>
      </c>
      <c r="H82" s="505" t="s">
        <v>381</v>
      </c>
      <c r="I82" s="503" t="s">
        <v>217</v>
      </c>
      <c r="J82" s="505" t="s">
        <v>215</v>
      </c>
      <c r="K82" s="503" t="s">
        <v>215</v>
      </c>
      <c r="L82" s="520"/>
      <c r="M82" s="520"/>
      <c r="N82" s="520"/>
      <c r="O82" s="520"/>
      <c r="P82" s="520"/>
      <c r="Q82" s="520"/>
      <c r="R82" s="520"/>
      <c r="S82" s="520"/>
      <c r="T82" s="520"/>
      <c r="U82" s="520"/>
      <c r="V82" s="520"/>
      <c r="W82" s="520"/>
      <c r="X82" s="520"/>
      <c r="Y82" s="520"/>
    </row>
    <row r="83" spans="1:25" ht="15" customHeight="1" x14ac:dyDescent="0.25">
      <c r="A83" s="520"/>
      <c r="B83" s="709">
        <f t="shared" si="2"/>
        <v>80</v>
      </c>
      <c r="C83" s="709" t="s">
        <v>273</v>
      </c>
      <c r="D83" s="709" t="s">
        <v>380</v>
      </c>
      <c r="E83" s="709"/>
      <c r="F83" s="709"/>
      <c r="G83" s="709" t="s">
        <v>215</v>
      </c>
      <c r="H83" s="1027" t="s">
        <v>382</v>
      </c>
      <c r="I83" s="709" t="s">
        <v>217</v>
      </c>
      <c r="J83" s="722" t="s">
        <v>383</v>
      </c>
      <c r="K83" s="503" t="s">
        <v>215</v>
      </c>
      <c r="L83" s="520"/>
      <c r="M83" s="520"/>
      <c r="N83" s="520"/>
      <c r="O83" s="520"/>
      <c r="P83" s="520"/>
      <c r="Q83" s="520"/>
      <c r="R83" s="520"/>
      <c r="S83" s="520"/>
      <c r="T83" s="520"/>
      <c r="U83" s="520"/>
      <c r="V83" s="520"/>
      <c r="W83" s="520"/>
      <c r="X83" s="520"/>
      <c r="Y83" s="520"/>
    </row>
    <row r="84" spans="1:25" x14ac:dyDescent="0.25">
      <c r="A84" s="520"/>
      <c r="B84" s="701">
        <f t="shared" si="2"/>
        <v>81</v>
      </c>
      <c r="C84" s="701"/>
      <c r="D84" s="701"/>
      <c r="E84" s="1025"/>
      <c r="F84" s="1025"/>
      <c r="G84" s="701"/>
      <c r="H84" s="865"/>
      <c r="I84" s="1025"/>
      <c r="J84" s="1025"/>
      <c r="K84" s="503" t="s">
        <v>215</v>
      </c>
      <c r="L84" s="520"/>
      <c r="M84" s="520"/>
      <c r="N84" s="520"/>
      <c r="O84" s="520"/>
      <c r="P84" s="520"/>
      <c r="Q84" s="520"/>
      <c r="R84" s="520"/>
      <c r="S84" s="520"/>
      <c r="T84" s="520"/>
      <c r="U84" s="520"/>
      <c r="V84" s="520"/>
      <c r="W84" s="520"/>
      <c r="X84" s="520"/>
      <c r="Y84" s="520"/>
    </row>
    <row r="85" spans="1:25" x14ac:dyDescent="0.25">
      <c r="A85" s="520"/>
      <c r="B85" s="503">
        <f t="shared" si="2"/>
        <v>82</v>
      </c>
      <c r="C85" s="512"/>
      <c r="D85" s="503"/>
      <c r="E85" s="512"/>
      <c r="F85" s="512"/>
      <c r="G85" s="503"/>
      <c r="H85" s="505"/>
      <c r="I85" s="512"/>
      <c r="J85" s="512"/>
      <c r="K85" s="503"/>
      <c r="L85" s="520"/>
      <c r="M85" s="520"/>
      <c r="N85" s="520"/>
      <c r="O85" s="520"/>
      <c r="P85" s="520"/>
      <c r="Q85" s="520"/>
      <c r="R85" s="520"/>
      <c r="S85" s="520"/>
      <c r="T85" s="520"/>
      <c r="U85" s="520"/>
      <c r="V85" s="520"/>
      <c r="W85" s="520"/>
      <c r="X85" s="520"/>
      <c r="Y85" s="520"/>
    </row>
    <row r="86" spans="1:25" x14ac:dyDescent="0.25">
      <c r="A86" s="520"/>
      <c r="B86" s="503">
        <f t="shared" si="2"/>
        <v>83</v>
      </c>
      <c r="C86" s="512"/>
      <c r="D86" s="503"/>
      <c r="E86" s="512"/>
      <c r="F86" s="512"/>
      <c r="G86" s="503"/>
      <c r="H86" s="505"/>
      <c r="I86" s="512"/>
      <c r="J86" s="512"/>
      <c r="K86" s="503"/>
      <c r="L86" s="520"/>
      <c r="M86" s="520"/>
      <c r="N86" s="520"/>
      <c r="O86" s="520"/>
      <c r="P86" s="520"/>
      <c r="Q86" s="520"/>
      <c r="R86" s="520"/>
      <c r="S86" s="520"/>
      <c r="T86" s="520"/>
      <c r="U86" s="520"/>
      <c r="V86" s="520"/>
      <c r="W86" s="520"/>
      <c r="X86" s="520"/>
      <c r="Y86" s="520"/>
    </row>
    <row r="87" spans="1:25" x14ac:dyDescent="0.25">
      <c r="A87" s="520"/>
      <c r="B87" s="503">
        <f t="shared" si="2"/>
        <v>84</v>
      </c>
      <c r="C87" s="512"/>
      <c r="D87" s="503"/>
      <c r="E87" s="512"/>
      <c r="F87" s="512"/>
      <c r="G87" s="503"/>
      <c r="H87" s="505"/>
      <c r="I87" s="512"/>
      <c r="J87" s="512"/>
      <c r="K87" s="503"/>
      <c r="L87" s="520"/>
      <c r="M87" s="520"/>
      <c r="N87" s="520"/>
      <c r="O87" s="520"/>
      <c r="P87" s="520"/>
      <c r="Q87" s="520"/>
      <c r="R87" s="520"/>
      <c r="S87" s="520"/>
      <c r="T87" s="520"/>
      <c r="U87" s="520"/>
      <c r="V87" s="520"/>
      <c r="W87" s="520"/>
      <c r="X87" s="520"/>
      <c r="Y87" s="520"/>
    </row>
    <row r="88" spans="1:25" x14ac:dyDescent="0.25">
      <c r="A88" s="520"/>
      <c r="B88" s="503">
        <f t="shared" si="2"/>
        <v>85</v>
      </c>
      <c r="C88" s="512"/>
      <c r="D88" s="503"/>
      <c r="E88" s="512"/>
      <c r="F88" s="512"/>
      <c r="G88" s="503"/>
      <c r="H88" s="505"/>
      <c r="I88" s="512"/>
      <c r="J88" s="512"/>
      <c r="K88" s="503"/>
      <c r="L88" s="520"/>
      <c r="M88" s="520"/>
      <c r="N88" s="520"/>
      <c r="O88" s="520"/>
      <c r="P88" s="520"/>
      <c r="Q88" s="520"/>
      <c r="R88" s="520"/>
      <c r="S88" s="520"/>
      <c r="T88" s="520"/>
      <c r="U88" s="520"/>
      <c r="V88" s="520"/>
      <c r="W88" s="520"/>
      <c r="X88" s="520"/>
      <c r="Y88" s="520"/>
    </row>
    <row r="89" spans="1:25" x14ac:dyDescent="0.25">
      <c r="A89" s="520"/>
      <c r="B89" s="503">
        <f t="shared" si="2"/>
        <v>86</v>
      </c>
      <c r="C89" s="512"/>
      <c r="D89" s="503"/>
      <c r="E89" s="512"/>
      <c r="F89" s="512"/>
      <c r="G89" s="503"/>
      <c r="H89" s="505"/>
      <c r="I89" s="512"/>
      <c r="J89" s="512"/>
      <c r="K89" s="503"/>
      <c r="L89" s="520"/>
      <c r="M89" s="520"/>
      <c r="N89" s="520"/>
      <c r="O89" s="520"/>
      <c r="P89" s="520"/>
      <c r="Q89" s="520"/>
      <c r="R89" s="520"/>
      <c r="S89" s="520"/>
      <c r="T89" s="520"/>
      <c r="U89" s="520"/>
      <c r="V89" s="520"/>
      <c r="W89" s="520"/>
      <c r="X89" s="520"/>
      <c r="Y89" s="520"/>
    </row>
    <row r="90" spans="1:25" x14ac:dyDescent="0.25">
      <c r="A90" s="520"/>
      <c r="B90" s="503">
        <f t="shared" si="2"/>
        <v>87</v>
      </c>
      <c r="C90" s="512"/>
      <c r="D90" s="503"/>
      <c r="E90" s="512"/>
      <c r="F90" s="512"/>
      <c r="G90" s="503"/>
      <c r="H90" s="505"/>
      <c r="I90" s="512"/>
      <c r="J90" s="512"/>
      <c r="K90" s="503"/>
      <c r="L90" s="520"/>
      <c r="M90" s="520"/>
      <c r="N90" s="520"/>
      <c r="O90" s="520"/>
      <c r="P90" s="520"/>
      <c r="Q90" s="520"/>
      <c r="R90" s="520"/>
      <c r="S90" s="520"/>
      <c r="T90" s="520"/>
      <c r="U90" s="520"/>
      <c r="V90" s="520"/>
      <c r="W90" s="520"/>
      <c r="X90" s="520"/>
      <c r="Y90" s="520"/>
    </row>
    <row r="91" spans="1:25" x14ac:dyDescent="0.25">
      <c r="A91" s="520"/>
      <c r="B91" s="503">
        <f t="shared" si="2"/>
        <v>88</v>
      </c>
      <c r="C91" s="512"/>
      <c r="D91" s="503"/>
      <c r="E91" s="512"/>
      <c r="F91" s="512"/>
      <c r="G91" s="503"/>
      <c r="H91" s="505"/>
      <c r="I91" s="512"/>
      <c r="J91" s="512"/>
      <c r="K91" s="503"/>
      <c r="L91" s="520"/>
      <c r="M91" s="520"/>
      <c r="N91" s="520"/>
      <c r="O91" s="520"/>
      <c r="P91" s="520"/>
      <c r="Q91" s="520"/>
      <c r="R91" s="520"/>
      <c r="S91" s="520"/>
      <c r="T91" s="520"/>
      <c r="U91" s="520"/>
      <c r="V91" s="520"/>
      <c r="W91" s="520"/>
      <c r="X91" s="520"/>
      <c r="Y91" s="520"/>
    </row>
    <row r="92" spans="1:25" x14ac:dyDescent="0.25">
      <c r="A92" s="520"/>
      <c r="B92" s="503">
        <f t="shared" si="2"/>
        <v>89</v>
      </c>
      <c r="C92" s="512"/>
      <c r="D92" s="503"/>
      <c r="E92" s="512"/>
      <c r="F92" s="512"/>
      <c r="G92" s="503"/>
      <c r="H92" s="505"/>
      <c r="I92" s="512"/>
      <c r="J92" s="512"/>
      <c r="K92" s="503"/>
      <c r="L92" s="520"/>
      <c r="M92" s="520"/>
      <c r="N92" s="520"/>
      <c r="O92" s="520"/>
      <c r="P92" s="520"/>
      <c r="Q92" s="520"/>
      <c r="R92" s="520"/>
      <c r="S92" s="520"/>
      <c r="T92" s="520"/>
      <c r="U92" s="520"/>
      <c r="V92" s="520"/>
      <c r="W92" s="520"/>
      <c r="X92" s="520"/>
      <c r="Y92" s="520"/>
    </row>
    <row r="93" spans="1:25" x14ac:dyDescent="0.25">
      <c r="A93" s="520"/>
      <c r="B93" s="503">
        <f t="shared" si="2"/>
        <v>90</v>
      </c>
      <c r="C93" s="512"/>
      <c r="D93" s="503"/>
      <c r="E93" s="512"/>
      <c r="F93" s="512"/>
      <c r="G93" s="503"/>
      <c r="H93" s="505"/>
      <c r="I93" s="512"/>
      <c r="J93" s="512"/>
      <c r="K93" s="503"/>
      <c r="L93" s="520"/>
      <c r="M93" s="520"/>
      <c r="N93" s="520"/>
      <c r="O93" s="520"/>
      <c r="P93" s="520"/>
      <c r="Q93" s="520"/>
      <c r="R93" s="520"/>
      <c r="S93" s="520"/>
      <c r="T93" s="520"/>
      <c r="U93" s="520"/>
      <c r="V93" s="520"/>
      <c r="W93" s="520"/>
      <c r="X93" s="520"/>
      <c r="Y93" s="520"/>
    </row>
    <row r="94" spans="1:25" x14ac:dyDescent="0.25">
      <c r="A94" s="520"/>
      <c r="B94" s="503">
        <f t="shared" si="2"/>
        <v>91</v>
      </c>
      <c r="C94" s="512"/>
      <c r="D94" s="503"/>
      <c r="E94" s="512"/>
      <c r="F94" s="512"/>
      <c r="G94" s="503"/>
      <c r="H94" s="505"/>
      <c r="I94" s="512"/>
      <c r="J94" s="512"/>
      <c r="K94" s="503"/>
      <c r="L94" s="520"/>
      <c r="M94" s="520"/>
      <c r="N94" s="520"/>
      <c r="O94" s="520"/>
      <c r="P94" s="520"/>
      <c r="Q94" s="520"/>
      <c r="R94" s="520"/>
      <c r="S94" s="520"/>
      <c r="T94" s="520"/>
      <c r="U94" s="520"/>
      <c r="V94" s="520"/>
      <c r="W94" s="520"/>
      <c r="X94" s="520"/>
      <c r="Y94" s="520"/>
    </row>
    <row r="95" spans="1:25" x14ac:dyDescent="0.25">
      <c r="A95" s="520"/>
      <c r="B95" s="503">
        <f t="shared" si="2"/>
        <v>92</v>
      </c>
      <c r="C95" s="512"/>
      <c r="D95" s="503"/>
      <c r="E95" s="512"/>
      <c r="F95" s="512"/>
      <c r="G95" s="503"/>
      <c r="H95" s="505"/>
      <c r="I95" s="512"/>
      <c r="J95" s="512"/>
      <c r="K95" s="503"/>
      <c r="L95" s="520"/>
      <c r="M95" s="520"/>
      <c r="N95" s="520"/>
      <c r="O95" s="520"/>
      <c r="P95" s="520"/>
      <c r="Q95" s="520"/>
      <c r="R95" s="520"/>
      <c r="S95" s="520"/>
      <c r="T95" s="520"/>
      <c r="U95" s="520"/>
      <c r="V95" s="520"/>
      <c r="W95" s="520"/>
      <c r="X95" s="520"/>
      <c r="Y95" s="520"/>
    </row>
    <row r="96" spans="1:25" x14ac:dyDescent="0.25">
      <c r="A96" s="520"/>
      <c r="B96" s="503">
        <f t="shared" si="2"/>
        <v>93</v>
      </c>
      <c r="C96" s="512"/>
      <c r="D96" s="503"/>
      <c r="E96" s="512"/>
      <c r="F96" s="512"/>
      <c r="G96" s="503"/>
      <c r="H96" s="505"/>
      <c r="I96" s="512"/>
      <c r="J96" s="512"/>
      <c r="K96" s="503"/>
      <c r="L96" s="520"/>
      <c r="M96" s="520"/>
      <c r="N96" s="520"/>
      <c r="O96" s="520"/>
      <c r="P96" s="520"/>
      <c r="Q96" s="520"/>
      <c r="R96" s="520"/>
      <c r="S96" s="520"/>
      <c r="T96" s="520"/>
      <c r="U96" s="520"/>
      <c r="V96" s="520"/>
      <c r="W96" s="520"/>
      <c r="X96" s="520"/>
      <c r="Y96" s="520"/>
    </row>
    <row r="97" spans="1:25" x14ac:dyDescent="0.25">
      <c r="A97" s="520"/>
      <c r="B97" s="503">
        <f t="shared" si="2"/>
        <v>94</v>
      </c>
      <c r="C97" s="512"/>
      <c r="D97" s="503"/>
      <c r="E97" s="512"/>
      <c r="F97" s="512"/>
      <c r="G97" s="503"/>
      <c r="H97" s="505"/>
      <c r="I97" s="512"/>
      <c r="J97" s="512"/>
      <c r="K97" s="503"/>
      <c r="L97" s="520"/>
      <c r="M97" s="520"/>
      <c r="N97" s="520"/>
      <c r="O97" s="520"/>
      <c r="P97" s="520"/>
      <c r="Q97" s="520"/>
      <c r="R97" s="520"/>
      <c r="S97" s="520"/>
      <c r="T97" s="520"/>
      <c r="U97" s="520"/>
      <c r="V97" s="520"/>
      <c r="W97" s="520"/>
      <c r="X97" s="520"/>
      <c r="Y97" s="520"/>
    </row>
    <row r="98" spans="1:25" x14ac:dyDescent="0.25">
      <c r="A98" s="520"/>
      <c r="B98" s="503">
        <f t="shared" si="2"/>
        <v>95</v>
      </c>
      <c r="C98" s="512"/>
      <c r="D98" s="503"/>
      <c r="E98" s="512"/>
      <c r="F98" s="512"/>
      <c r="G98" s="503"/>
      <c r="H98" s="505"/>
      <c r="I98" s="512"/>
      <c r="J98" s="512"/>
      <c r="K98" s="503"/>
      <c r="L98" s="520"/>
      <c r="M98" s="520"/>
      <c r="N98" s="520"/>
      <c r="O98" s="520"/>
      <c r="P98" s="520"/>
      <c r="Q98" s="520"/>
      <c r="R98" s="520"/>
      <c r="S98" s="520"/>
      <c r="T98" s="520"/>
      <c r="U98" s="520"/>
      <c r="V98" s="520"/>
      <c r="W98" s="520"/>
      <c r="X98" s="520"/>
      <c r="Y98" s="520"/>
    </row>
    <row r="99" spans="1:25" x14ac:dyDescent="0.25">
      <c r="A99" s="520"/>
      <c r="B99" s="503">
        <f t="shared" si="2"/>
        <v>96</v>
      </c>
      <c r="C99" s="512"/>
      <c r="D99" s="503"/>
      <c r="E99" s="512"/>
      <c r="F99" s="512"/>
      <c r="G99" s="503"/>
      <c r="H99" s="505"/>
      <c r="I99" s="512"/>
      <c r="J99" s="512"/>
      <c r="K99" s="503"/>
      <c r="L99" s="520"/>
      <c r="M99" s="520"/>
      <c r="N99" s="520"/>
      <c r="O99" s="520"/>
      <c r="P99" s="520"/>
      <c r="Q99" s="520"/>
      <c r="R99" s="520"/>
      <c r="S99" s="520"/>
      <c r="T99" s="520"/>
      <c r="U99" s="520"/>
      <c r="V99" s="520"/>
      <c r="W99" s="520"/>
      <c r="X99" s="520"/>
      <c r="Y99" s="520"/>
    </row>
    <row r="100" spans="1:25" x14ac:dyDescent="0.25">
      <c r="A100" s="520"/>
      <c r="B100" s="503">
        <f t="shared" si="2"/>
        <v>97</v>
      </c>
      <c r="C100" s="512"/>
      <c r="D100" s="503"/>
      <c r="E100" s="512"/>
      <c r="F100" s="512"/>
      <c r="G100" s="503"/>
      <c r="H100" s="505"/>
      <c r="I100" s="512"/>
      <c r="J100" s="512"/>
      <c r="K100" s="503"/>
      <c r="L100" s="520"/>
      <c r="M100" s="520"/>
      <c r="N100" s="520"/>
      <c r="O100" s="520"/>
      <c r="P100" s="520"/>
      <c r="Q100" s="520"/>
      <c r="R100" s="520"/>
      <c r="S100" s="520"/>
      <c r="T100" s="520"/>
      <c r="U100" s="520"/>
      <c r="V100" s="520"/>
      <c r="W100" s="520"/>
      <c r="X100" s="520"/>
      <c r="Y100" s="520"/>
    </row>
    <row r="101" spans="1:25" x14ac:dyDescent="0.25">
      <c r="A101" s="520"/>
      <c r="B101" s="503">
        <f t="shared" si="2"/>
        <v>98</v>
      </c>
      <c r="C101" s="512"/>
      <c r="D101" s="503"/>
      <c r="E101" s="512"/>
      <c r="F101" s="512"/>
      <c r="G101" s="503"/>
      <c r="H101" s="505"/>
      <c r="I101" s="512"/>
      <c r="J101" s="512"/>
      <c r="K101" s="503"/>
      <c r="L101" s="520"/>
      <c r="M101" s="520"/>
      <c r="N101" s="520"/>
      <c r="O101" s="520"/>
      <c r="P101" s="520"/>
      <c r="Q101" s="520"/>
      <c r="R101" s="520"/>
      <c r="S101" s="520"/>
      <c r="T101" s="520"/>
      <c r="U101" s="520"/>
      <c r="V101" s="520"/>
      <c r="W101" s="520"/>
      <c r="X101" s="520"/>
      <c r="Y101" s="520"/>
    </row>
    <row r="102" spans="1:25" x14ac:dyDescent="0.25">
      <c r="A102" s="520"/>
      <c r="B102" s="503">
        <f t="shared" si="2"/>
        <v>99</v>
      </c>
      <c r="K102" s="503"/>
      <c r="L102" s="520"/>
      <c r="M102" s="520"/>
      <c r="N102" s="520"/>
      <c r="O102" s="520"/>
      <c r="P102" s="520"/>
      <c r="Q102" s="520"/>
      <c r="R102" s="520"/>
      <c r="S102" s="520"/>
      <c r="T102" s="520"/>
      <c r="U102" s="520"/>
      <c r="V102" s="520"/>
      <c r="W102" s="520"/>
      <c r="X102" s="520"/>
      <c r="Y102" s="520"/>
    </row>
    <row r="103" spans="1:25" x14ac:dyDescent="0.25">
      <c r="A103" s="520"/>
      <c r="B103" s="525"/>
      <c r="C103" s="525"/>
      <c r="D103" s="525"/>
      <c r="E103" s="525"/>
      <c r="F103" s="525"/>
      <c r="G103" s="525"/>
      <c r="H103" s="525"/>
      <c r="I103" s="525"/>
      <c r="J103" s="525"/>
      <c r="K103" s="520"/>
      <c r="L103" s="520"/>
      <c r="M103" s="520"/>
      <c r="N103" s="520"/>
      <c r="O103" s="520"/>
      <c r="P103" s="520"/>
      <c r="Q103" s="520"/>
      <c r="R103" s="520"/>
      <c r="S103" s="520"/>
      <c r="T103" s="520"/>
      <c r="U103" s="520"/>
      <c r="V103" s="520"/>
      <c r="W103" s="520"/>
      <c r="X103" s="520"/>
      <c r="Y103" s="520"/>
    </row>
    <row r="104" spans="1:25" x14ac:dyDescent="0.25">
      <c r="A104" s="520"/>
      <c r="B104" s="525"/>
      <c r="C104" s="525"/>
      <c r="D104" s="525"/>
      <c r="E104" s="525"/>
      <c r="F104" s="525"/>
      <c r="G104" s="525"/>
      <c r="H104" s="525"/>
      <c r="I104" s="525"/>
      <c r="J104" s="525"/>
      <c r="K104" s="520"/>
      <c r="L104" s="520"/>
      <c r="M104" s="520"/>
      <c r="N104" s="520"/>
      <c r="O104" s="520"/>
      <c r="P104" s="520"/>
      <c r="Q104" s="520"/>
      <c r="R104" s="520"/>
      <c r="S104" s="520"/>
      <c r="T104" s="520"/>
      <c r="U104" s="520"/>
      <c r="V104" s="520"/>
      <c r="W104" s="520"/>
      <c r="X104" s="520"/>
      <c r="Y104" s="520"/>
    </row>
    <row r="105" spans="1:25" x14ac:dyDescent="0.25">
      <c r="A105" s="520"/>
      <c r="B105" s="525"/>
      <c r="C105" s="525"/>
      <c r="D105" s="525"/>
      <c r="E105" s="525"/>
      <c r="F105" s="525"/>
      <c r="G105" s="525"/>
      <c r="H105" s="525"/>
      <c r="I105" s="525"/>
      <c r="J105" s="525"/>
      <c r="K105" s="520"/>
      <c r="L105" s="520"/>
      <c r="M105" s="520"/>
      <c r="N105" s="520"/>
      <c r="O105" s="520"/>
      <c r="P105" s="520"/>
      <c r="Q105" s="520"/>
      <c r="R105" s="520"/>
      <c r="S105" s="520"/>
      <c r="T105" s="520"/>
      <c r="U105" s="520"/>
      <c r="V105" s="520"/>
      <c r="W105" s="520"/>
      <c r="X105" s="520"/>
      <c r="Y105" s="520"/>
    </row>
    <row r="106" spans="1:25" x14ac:dyDescent="0.25">
      <c r="A106" s="520"/>
      <c r="B106" s="525"/>
      <c r="C106" s="525"/>
      <c r="D106" s="525"/>
      <c r="E106" s="525"/>
      <c r="F106" s="525"/>
      <c r="G106" s="525"/>
      <c r="H106" s="525"/>
      <c r="I106" s="525"/>
      <c r="J106" s="525"/>
      <c r="K106" s="520"/>
      <c r="L106" s="520"/>
      <c r="M106" s="520"/>
      <c r="N106" s="520"/>
      <c r="O106" s="520"/>
      <c r="P106" s="520"/>
      <c r="Q106" s="520"/>
      <c r="R106" s="520"/>
      <c r="S106" s="520"/>
      <c r="T106" s="520"/>
      <c r="U106" s="520"/>
      <c r="V106" s="520"/>
      <c r="W106" s="520"/>
      <c r="X106" s="520"/>
      <c r="Y106" s="520"/>
    </row>
    <row r="107" spans="1:25" x14ac:dyDescent="0.25">
      <c r="A107" s="520"/>
      <c r="B107" s="520"/>
      <c r="C107" s="520"/>
      <c r="D107" s="533"/>
      <c r="E107" s="520"/>
      <c r="F107" s="520"/>
      <c r="G107" s="533"/>
      <c r="H107" s="534"/>
      <c r="I107" s="520"/>
      <c r="J107" s="520"/>
      <c r="K107" s="520"/>
      <c r="L107" s="520"/>
      <c r="M107" s="520"/>
      <c r="N107" s="520"/>
      <c r="O107" s="520"/>
      <c r="P107" s="520"/>
      <c r="Q107" s="520"/>
      <c r="R107" s="520"/>
      <c r="S107" s="520"/>
      <c r="T107" s="520"/>
      <c r="U107" s="520"/>
      <c r="V107" s="520"/>
      <c r="W107" s="520"/>
      <c r="X107" s="520"/>
      <c r="Y107" s="520"/>
    </row>
    <row r="108" spans="1:25" x14ac:dyDescent="0.25">
      <c r="A108" s="520"/>
      <c r="B108" s="520"/>
      <c r="C108" s="520"/>
      <c r="D108" s="533"/>
      <c r="E108" s="520"/>
      <c r="F108" s="520"/>
      <c r="G108" s="533"/>
      <c r="H108" s="534"/>
      <c r="I108" s="520"/>
      <c r="J108" s="520"/>
      <c r="K108" s="520"/>
      <c r="L108" s="520"/>
      <c r="M108" s="520"/>
      <c r="N108" s="520"/>
      <c r="O108" s="520"/>
      <c r="P108" s="520"/>
      <c r="Q108" s="520"/>
      <c r="R108" s="520"/>
      <c r="S108" s="520"/>
      <c r="T108" s="520"/>
      <c r="U108" s="520"/>
      <c r="V108" s="520"/>
      <c r="W108" s="520"/>
      <c r="X108" s="520"/>
      <c r="Y108" s="520"/>
    </row>
    <row r="109" spans="1:25" x14ac:dyDescent="0.25">
      <c r="A109" s="520"/>
      <c r="B109" s="520"/>
      <c r="C109" s="520"/>
      <c r="D109" s="533"/>
      <c r="E109" s="520"/>
      <c r="F109" s="520"/>
      <c r="G109" s="533"/>
      <c r="H109" s="534"/>
      <c r="I109" s="520"/>
      <c r="J109" s="520"/>
      <c r="K109" s="520"/>
      <c r="L109" s="520"/>
      <c r="M109" s="520"/>
      <c r="N109" s="520"/>
      <c r="O109" s="520"/>
      <c r="P109" s="520"/>
      <c r="Q109" s="520"/>
      <c r="R109" s="520"/>
      <c r="S109" s="520"/>
      <c r="T109" s="520"/>
      <c r="U109" s="520"/>
      <c r="V109" s="520"/>
      <c r="W109" s="520"/>
      <c r="X109" s="520"/>
      <c r="Y109" s="520"/>
    </row>
    <row r="110" spans="1:25" x14ac:dyDescent="0.25">
      <c r="A110" s="520"/>
      <c r="C110" s="520"/>
      <c r="D110" s="533"/>
      <c r="E110" s="520"/>
      <c r="F110" s="520"/>
      <c r="G110" s="533"/>
      <c r="H110" s="534"/>
      <c r="I110" s="520"/>
      <c r="J110" s="520"/>
      <c r="K110" s="520"/>
      <c r="L110" s="520"/>
      <c r="M110" s="520"/>
      <c r="N110" s="520"/>
      <c r="O110" s="520"/>
      <c r="P110" s="520"/>
      <c r="Q110" s="520"/>
      <c r="R110" s="520"/>
      <c r="S110" s="520"/>
      <c r="T110" s="520"/>
      <c r="U110" s="520"/>
      <c r="V110" s="520"/>
      <c r="W110" s="520"/>
      <c r="X110" s="520"/>
      <c r="Y110" s="520"/>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Sarah Darlow</cp:lastModifiedBy>
  <cp:revision/>
  <dcterms:created xsi:type="dcterms:W3CDTF">2020-09-14T13:04:31Z</dcterms:created>
  <dcterms:modified xsi:type="dcterms:W3CDTF">2025-05-09T13:38:07Z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